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filterPrivacy="1" codeName="ThisWorkbook" defaultThemeVersion="166925"/>
  <xr:revisionPtr revIDLastSave="0" documentId="13_ncr:1_{713619AA-3B64-4C9F-9F57-0BDA196117BA}" xr6:coauthVersionLast="47" xr6:coauthVersionMax="47" xr10:uidLastSave="{00000000-0000-0000-0000-000000000000}"/>
  <bookViews>
    <workbookView xWindow="-120" yWindow="-120" windowWidth="29040" windowHeight="15720" firstSheet="5" activeTab="5" xr2:uid="{40880E3F-7D1D-4B29-8B52-F60335647E83}"/>
  </bookViews>
  <sheets>
    <sheet name="TA_Final (2)" sheetId="4" state="hidden" r:id="rId1"/>
    <sheet name="TA_Final" sheetId="1" state="hidden" r:id="rId2"/>
    <sheet name="TA_Include" sheetId="3" state="hidden" r:id="rId3"/>
    <sheet name="TA_Include_tidy_backup" sheetId="6" state="hidden" r:id="rId4"/>
    <sheet name="TA_Include_tidy" sheetId="7" state="hidden" r:id="rId5"/>
    <sheet name="Comparison Gorrod" sheetId="26" r:id="rId6"/>
    <sheet name="TA259" sheetId="8" r:id="rId7"/>
    <sheet name="TA268" sheetId="13" r:id="rId8"/>
    <sheet name="TA269" sheetId="12" r:id="rId9"/>
    <sheet name="TA285" sheetId="9" r:id="rId10"/>
    <sheet name="TA347" sheetId="18" r:id="rId11"/>
    <sheet name="TA319" sheetId="14" r:id="rId12"/>
    <sheet name="TA357" sheetId="19" r:id="rId13"/>
    <sheet name="TA366" sheetId="16" r:id="rId14"/>
    <sheet name="TA374" sheetId="25" r:id="rId15"/>
    <sheet name="TA384" sheetId="15" r:id="rId16"/>
    <sheet name="TA396" sheetId="11" r:id="rId17"/>
    <sheet name="TA400" sheetId="20" r:id="rId18"/>
    <sheet name="TA414" sheetId="24" r:id="rId19"/>
    <sheet name="TA417" sheetId="21" r:id="rId20"/>
    <sheet name="TA428" sheetId="17" r:id="rId21"/>
    <sheet name="TA476" sheetId="10" r:id="rId22"/>
    <sheet name="TA447" sheetId="23" r:id="rId23"/>
    <sheet name="TA650" sheetId="22" state="hidden" r:id="rId24"/>
    <sheet name="Final_TAs" sheetId="2" state="hidden" r:id="rId25"/>
  </sheets>
  <definedNames>
    <definedName name="_xlnm._FilterDatabase" localSheetId="1" hidden="1">TA_Final!$B$1:$G$22</definedName>
    <definedName name="_xlnm._FilterDatabase" localSheetId="0" hidden="1">'TA_Final (2)'!$A$1:$E$10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58" i="17" l="1"/>
  <c r="I22" i="12"/>
  <c r="H22" i="12"/>
  <c r="I20" i="12"/>
  <c r="H20" i="12"/>
  <c r="K62" i="13"/>
  <c r="J62" i="13"/>
  <c r="K60" i="13"/>
  <c r="J60" i="13"/>
  <c r="C70" i="11"/>
  <c r="C69" i="11"/>
  <c r="E72" i="11"/>
  <c r="D72" i="11"/>
  <c r="D70" i="11"/>
  <c r="E70" i="11"/>
  <c r="G19" i="12" l="1"/>
  <c r="G20" i="12"/>
  <c r="B41" i="22"/>
  <c r="B40" i="22"/>
  <c r="B39" i="22"/>
  <c r="F64" i="23"/>
  <c r="F63" i="23"/>
  <c r="F62" i="23"/>
  <c r="B63" i="23"/>
  <c r="E7" i="18"/>
  <c r="F7" i="18" s="1"/>
  <c r="J14" i="13"/>
  <c r="J15" i="13" s="1"/>
  <c r="C63" i="23"/>
  <c r="B62" i="23"/>
  <c r="I11" i="7"/>
  <c r="I10" i="7"/>
  <c r="G11" i="7"/>
  <c r="G10" i="7"/>
  <c r="G8" i="7"/>
  <c r="G9" i="7"/>
  <c r="I8" i="7"/>
  <c r="B46" i="18"/>
  <c r="B47" i="18" s="1"/>
  <c r="K13" i="7"/>
  <c r="I12" i="7"/>
  <c r="G7" i="7"/>
  <c r="K1" i="7"/>
  <c r="F1" i="7"/>
  <c r="E1" i="7"/>
  <c r="D1" i="7"/>
  <c r="C1" i="7"/>
  <c r="B1" i="7"/>
  <c r="A1" i="7"/>
  <c r="I11" i="6"/>
  <c r="I10" i="6"/>
  <c r="J11" i="6"/>
  <c r="J10" i="6"/>
  <c r="H11" i="6"/>
  <c r="G11" i="6"/>
  <c r="G10" i="6"/>
  <c r="I13" i="6"/>
  <c r="I12" i="6"/>
  <c r="J9" i="6"/>
  <c r="J8" i="6"/>
  <c r="I8" i="6"/>
  <c r="H9" i="6"/>
  <c r="H8" i="6"/>
  <c r="G9" i="6"/>
  <c r="G8" i="6"/>
  <c r="H7" i="6"/>
  <c r="K14" i="6"/>
  <c r="G7" i="6"/>
  <c r="K1" i="6"/>
  <c r="B1" i="6"/>
  <c r="C1" i="6"/>
  <c r="D1" i="6"/>
  <c r="E1" i="6"/>
  <c r="F1" i="6"/>
  <c r="A1" i="6"/>
  <c r="I60" i="13"/>
  <c r="I59" i="13"/>
</calcChain>
</file>

<file path=xl/sharedStrings.xml><?xml version="1.0" encoding="utf-8"?>
<sst xmlns="http://schemas.openxmlformats.org/spreadsheetml/2006/main" count="877" uniqueCount="321">
  <si>
    <t>Reference</t>
  </si>
  <si>
    <t>Section</t>
  </si>
  <si>
    <t>Include/Exclude</t>
  </si>
  <si>
    <t>Notes</t>
  </si>
  <si>
    <t>National Institute for Health and Care Excellence. Trametinib in combination with dabrafenib for treating unresect_x0002_able or metastatic melanoma. Technology appraisal guidance [TA396]. Available from: https://www.nice.org
.uk/guidance/ta396. Accessed July 2017.</t>
  </si>
  <si>
    <t>5.3.1. Incorporation of the clinical data in the model</t>
  </si>
  <si>
    <t>committee-papers (nice.org.uk)</t>
  </si>
  <si>
    <t>Include</t>
  </si>
  <si>
    <t>National Institute for Health and Care Excellence. Vemurafenib for treating locally advanced or metastatic BRAF V600 mutation-positive malignant melanoma. NICE technology appraisal guidance 269.</t>
  </si>
  <si>
    <t>Reference from TA396</t>
  </si>
  <si>
    <t>Incosistent: FAD implies different cut offs to the STA; use STA</t>
  </si>
  <si>
    <t>68. National Institute for Health and Care Excellence. Pembrolizumab for treating PD-L1-positive non-small-cell lung cancer after chemotherapy. Technology appraisal guidance [TA428]. Available from: https://www.nice.org.uk/gui_x0002_dance/ta428. Accessed July 2017.</t>
  </si>
  <si>
    <t>5.3.2 Modelling overall survival for the first 2 years</t>
  </si>
  <si>
    <t>https://www.nice.org.uk/guidance/ta428/documents/committee-papers</t>
  </si>
  <si>
    <t>Do not adjust Docetaxel due to treatment switching;
Have data for KEYNOTE-10 studies both 2 and 5 year</t>
  </si>
  <si>
    <t>https://www.nice.org.uk/guidance/ta428/documents/committee-papers-3</t>
  </si>
  <si>
    <t>17. National Institute for Health and Care Excellence. Ipilimumab for previously treated advanced (unresectable or metastatic) melanoma. Technology appraisal guidance [TA268].
Available from: https://www.nice.org.uk/guidance/ta268.
Accessed July 2017.</t>
  </si>
  <si>
    <t>https://www.nice.org.uk/guidance/ta268/documents/melanoma-stage-iii-or-iv-ipilimumab-evidence-review-group-report3</t>
  </si>
  <si>
    <t>Figure 10 Long-term OS projection trends used in ERG exploratory analysis</t>
  </si>
  <si>
    <t>https://www.nice.org.uk/guidance/ta268/documents/melanoma-stage-iii-or-iv-ipilimumab-manufacturers-submission-bristol-myerssquibb2</t>
  </si>
  <si>
    <t>Figure 14 Overall survival – modelled data vs Kaplan Meier data, single curve fit</t>
  </si>
  <si>
    <t>37. National Institute for Health and Care Excellence. Nintedanib for previously treated locally advanced, metastatic,
or locally recurrent non-small-cell lung cancer. Technology
appraisal guidance [TA347]. Available from: https://
www.nice.org.uk/guidance/ta347. accessed July 2017</t>
  </si>
  <si>
    <t>Evidence Review Group assumed exponential was better than Gompertz for PFS pg 75</t>
  </si>
  <si>
    <t>Include (Not Extracted Yet)</t>
  </si>
  <si>
    <t>Pembrolizumab with axitinib for untreated metastatic renal cell carcinoma TA650</t>
  </si>
  <si>
    <t>ta650</t>
  </si>
  <si>
    <t>Lead team presentation (nice.org.uk)</t>
  </si>
  <si>
    <t>Googled: Piecewise exponential NICE HTA</t>
  </si>
  <si>
    <t>Chair’s presentation (nice.org.uk)</t>
  </si>
  <si>
    <t>TA</t>
  </si>
  <si>
    <t>Section Heading *</t>
  </si>
  <si>
    <t>TA259</t>
  </si>
  <si>
    <t>National Institute for Health and Care Excellence. Abiraterone for castration-resistant metastatic prostate cancer previously treated with a docetaxel-containing regimen. Technology appraisal guidance [TA259]. Available from: https://www.nice.org.uk/guidance/ta259. Accessed July 2017.</t>
  </si>
  <si>
    <t>6.3.7</t>
  </si>
  <si>
    <t>https://www.nice.org.uk/guidance/ta259/documents/prostate-cancer-metastatic-castration-resistant-abiraterone-following-cytoxic-therapy-manufacturers-submission2</t>
  </si>
  <si>
    <t>Exclude</t>
  </si>
  <si>
    <t>Section 1.5 (ERG)</t>
  </si>
  <si>
    <t>https://www.nice.org.uk/guidance/ta259/documents/prostate-cancer-metastatic-castration-resistant-abiraterone-following-cytoxic-therapy-evidence-review-group-report2</t>
  </si>
  <si>
    <t>TA285</t>
  </si>
  <si>
    <t>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</si>
  <si>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Assumed KM+Log logistic for OS</t>
  </si>
  <si>
    <t>https://www.nice.org.uk/guidance/ta285/documents/ovarian-fallopian-tube-and-primary-peritoneal-cancer-recurrent-advanced-platinumsensitive-partially-platinumsensitive-bevacizumab-evidence-review-group-report2</t>
  </si>
  <si>
    <t>TA360</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</si>
  <si>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t>
  </si>
  <si>
    <t>ERG assumed KM + Extrapolation but not clear if exponential or other parametric model used</t>
  </si>
  <si>
    <t>https://www.nice.org.uk/guidance/ta476/documents/committee-papers</t>
  </si>
  <si>
    <t>https://www.nice.org.uk/guidance/ta476/documents/1</t>
  </si>
  <si>
    <t>TA369</t>
  </si>
  <si>
    <t>Dabrafenib for treating unresectable or metastatic BRAF V600 mutation-positive melanoma.</t>
  </si>
  <si>
    <t>Reference from TA396 - However, no piecewise model assumed.</t>
  </si>
  <si>
    <t>TA269</t>
  </si>
  <si>
    <t>TA428</t>
  </si>
  <si>
    <t>TA268</t>
  </si>
  <si>
    <t>TA319</t>
  </si>
  <si>
    <t>30. National Institute for Health and Care Excellence. Ipilimumab for previously untreated advanced (unresectable or
metastatic) melanoma. Technology appraisal guidance
[TA319]. Available from: https://www.nice.org.uk/gui
dance/ta319. Accessed July 2017.</t>
  </si>
  <si>
    <t>https://www.nice.org.uk/guidance/ta319/documents/evaluation-report2</t>
  </si>
  <si>
    <t xml:space="preserve">Manufacturer used KM + Weibull data See Evaluation Report - ERG </t>
  </si>
  <si>
    <t>38. National Institute for Health and Care Excellence. Pembrolizumab for treating advanced melanoma after disease progression with ipilimumab. Technology appraisal guidance [TA357]. Available from: https://www.nice.org.uk/ guidance/ta357. Accessed July 2017</t>
  </si>
  <si>
    <t xml:space="preserve">Overall survival was estimated by initially using Kaplan–Meier data from clinical trials (for the first 50–60 weeks of the model), followed by published mortality risks based on data from a pooled analysis of longterm survival data for people with melanoma treated with ipilimumab (Schadendorf et al. [2015]; applied to pembrolizumab and ipilimumab). Therefore not applicable </t>
  </si>
  <si>
    <t>https://www.nice.org.uk/guidance/ta366/documents/appraisal-consultation-document</t>
  </si>
  <si>
    <t>41. National Institute for Health and Care Excellence. Pembrolizumab for advanced melanoma not previously treated
with ipilimumab. Technology appraisal guidance [TA366].
Available from: https://www.nice.org.uk/guidance/ta366.
Accessed July 2017.</t>
  </si>
  <si>
    <t>Time to progression was modelled using Kaplan–Meier data from
CheckMate-066 (for nivolumab and dacarbazine) and from MDX010-20
(for ipilimumab) for the first 100 days, followed by fitted parametric curves
using the Gompertz distribution in the base case.</t>
  </si>
  <si>
    <t>https://www.nice.org.uk/guidance/ta366/documents/final-appraisal-determination-document</t>
  </si>
  <si>
    <t>49. National Institute for Health and Care Excellence. Nivolumab for treating advanced (unresectable or metastatic) melanoma. Technology appraisal guidance [TA384]. Available
from: https://www.nice.org.uk/guidance/ta384. accessed
July 2017.</t>
  </si>
  <si>
    <t>Long-term overall survival was modelled
using the following data:
 American Joint Committee on Cancer -registry on long term
survival ; applied from year 2 onwards for BRAF inhibitors and
DTIC</t>
  </si>
  <si>
    <t>https://www.nice.org.uk/guidance/ta384/documents/committee-papers</t>
  </si>
  <si>
    <t>56.National Institute for Health and Care Excellence. Nivolumab in combination with ipilimumab for treating advanced
melanoma. Technology appraisal guidance [TA400]. Available from: https://www.nice.org.uk/guidance/ta400. Accessed
July 2017.</t>
  </si>
  <si>
    <t>Time to progression As discussed in Section 4.13, time to progression is modelled using KM data for the first 84 days, and fitted parametric curves post 84 days. Among the six parametric curves fitted, the log-normal curve is chosen for the base case based on the NICE DSU guidance173 (see Section 4.13 for detailed results of the parametric curves fitted and the choice of the base case curve). Other types of curves were tested as scenario analyses. Figure 45 shows the final modelled time to progression for BRAF mutation-negative patients combining the KM data for the first 84 days and parametric curves post 84 days. P</t>
  </si>
  <si>
    <t>https://www.nice.org.uk/guidance/ta400/documents/committee-papers-2</t>
  </si>
  <si>
    <t>National Institute for Health and Care Excellence. Nivolumab for previously treated advanced renal cell carcinoma.
Technology appraisal guidance [TA417]. Available from:</t>
  </si>
  <si>
    <t>Unclear where piecewise modelling was employed</t>
  </si>
  <si>
    <t>https://www.nice.org.uk/guidance/ta417/documents/committee-papers-4</t>
  </si>
  <si>
    <t>*All page Numbers refer to the the full document in the pdf and not the page numbers at the bottom of the page (i.e. company submission and ERG are often inlcuded in the same document)</t>
  </si>
  <si>
    <t>Technology Apprasial</t>
  </si>
  <si>
    <t>Outcomes</t>
  </si>
  <si>
    <t>Approach to identify constant hazard segment</t>
  </si>
  <si>
    <t>Timepoints for start of constant hazard segment</t>
  </si>
  <si>
    <t>PEM model results</t>
  </si>
  <si>
    <t>Follow up results</t>
  </si>
  <si>
    <t>BIBTeX</t>
  </si>
  <si>
    <t>TA396</t>
  </si>
  <si>
    <t>Applicant assumed: Use of Kaplan-Meier data for each treatment arm until a pre-determined break point beyond which a long-term linear trend was evident
Used a sizer package to identify the breakpoint
PFS for the intervention (T+D) and comparator (BRAF Inibitor) was 11.8 and 12.5 months respectively
For OS it was 18.6 (4.2-21.0), 3.2 (2.8-23.3)</t>
  </si>
  <si>
    <t>PFS and OS both arms</t>
  </si>
  <si>
    <t>Sizer Package in R fit to cumulative hazard plot</t>
  </si>
  <si>
    <t>PFS T+D = 11.8 and BRAF Inhibitor = 12.5 months
For OS it was 18.6 (4.2-21.0), 3.2 (2.8-23.3)</t>
  </si>
  <si>
    <t>PFS T+D = 14.71; BRAF inhibitor = 19.13 months;
OS T+D = 18.3</t>
  </si>
  <si>
    <t xml:space="preserve">BRAF inhibitor arm for OS not included as the analysis was adjusted for treatment switching which we could not replicate.
Confidence intervals are very wide for the sizer PFS, however, hazards are broadly similar. </t>
  </si>
  <si>
    <t>Y</t>
  </si>
  <si>
    <t>@misc{national institute for health and care excellence._2016, title={Trametinib in combination with dabrafenib for treating unresectable or metastatic melanoma: Technology Appraisal Guidance}, url={https://www.nice.org.uk/Guidance/TA396}, journal={National Institute for Health and Care Excellence.}, year={2016}, month={Jun}}</t>
  </si>
  <si>
    <t>BRIM3 Study; PFS from four months was assumed to be stable and hazards from that used in extrapolation. Transition point of 9 months used to switch the hazard Vemurafenib with 7 months chosen for Dacarbazine; For OS survival they discuss that Dacarbazine has a constant hazard throughout while Verumrafeinb is approximately constant thereafter, however argue that it is not appropriate to assume constant long term hazards (pg.163); Update at 2012 and then at 2017</t>
  </si>
  <si>
    <t>PFS both arms</t>
  </si>
  <si>
    <t>Visual inspection</t>
  </si>
  <si>
    <t>PFS both arms = 4 months</t>
  </si>
  <si>
    <t>V = 2.6 months; D = 3.7 months;</t>
  </si>
  <si>
    <t>Y (Only OS presented)</t>
  </si>
  <si>
    <t>Incosistent: FAD implies different cut offs to the STA; use STA:
https://www.nice.org.uk/guidance/ta269/documents/melanoma-braf-v600-mutation-positive-unresectable-metastatic-vemurafenib-roche-products4</t>
  </si>
  <si>
    <t xml:space="preserve"> @misc{nice_2012, title={Vemurafenib for treating locally advanced or metastatic BRAF&amp;nbsp;V600 mutation‑positive malignant melanoma: Technology Appraisal Guidance}, url={https://www.nice.org.uk/guidance/ta269}, journal={NICE}, year={2012}, month={Dec}} </t>
  </si>
  <si>
    <t>Basecase was KEYNOTE-01 data but we will not consider it as it is an external dataset</t>
  </si>
  <si>
    <t>OS both arms</t>
  </si>
  <si>
    <t>Visual Inspection</t>
  </si>
  <si>
    <t>Basecase 12 months, also considered 15.5 months and 18 months</t>
  </si>
  <si>
    <t>12.2 months;</t>
  </si>
  <si>
    <t>Primary basecase was KEYNOTE-01 data but we will not consider it as it is an external dataset. Treatment switching occurred in docetaxel arm so this will not be considered.</t>
  </si>
  <si>
    <t>68. National Institute for Health and Care Excellence. Pembrolizumab for treating PD-L1-positive non-small-cell lung cancer after chemotherapy. Technology appraisal guidance [TA428]. Available from: https://www.nice.org.uk/guidance/ta428. Accessed July 2017.</t>
  </si>
  <si>
    <t xml:space="preserve"> @misc{nice_2017, title={Pembrolizumab for treating PD-L1-positive non-small-cell lung cancer after chemotherapy: Technology Appraisal Guidance}, url={https://www.nice.org.uk/guidance/ta428}, journal={NICE}, year={2017}, month={Jan}} </t>
  </si>
  <si>
    <t>OS GP100 340 days; OS All IPI 770 days
PFS GP100 190 days; PFS All IPI 365 days</t>
  </si>
  <si>
    <t>OS; GP100 1.15 years; Ipi 2.1 years</t>
  </si>
  <si>
    <t>This analysis was considered by the Evidence Review Group (ERG) rather than the company's original submission.</t>
  </si>
  <si>
    <t>N</t>
  </si>
  <si>
    <t>@misc{nice_2012, title={Ipilimumab for previously treated advanced (unresectable or metastatic) melanoma: Technology Appraisal Guidance}, url={https://www.nice.org.uk/guidance/ta268}, journal={NICE}, year={2012}, month={Dec}}</t>
  </si>
  <si>
    <t>PFS; GP100 0.57 years; Ipi :1.28 years.</t>
  </si>
  <si>
    <t>TA347</t>
  </si>
  <si>
    <t>OS N+D ~175 day; D ~ 300 days; PFS Common hazard used after 375 days</t>
  </si>
  <si>
    <t xml:space="preserve">OS N+D = No Changepoint most probable (although 1 changepoint model at 6.3 months); OS D = 2.5 months
PFS N+D  = 199 days; D = 137 days. </t>
  </si>
  <si>
    <t>PFS both hazards are similar after changepoint, however the break-point appears to be earlier.</t>
  </si>
  <si>
    <t>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
  </si>
  <si>
    <t xml:space="preserve"> @misc{nice_2015, title={Nintedanib for previously treated locally advanced, metastatic, or locally recurrent non‑small‑cell lung cancer: Technology Appraisal Guidance}, url={https://www.nice.org.uk/guidance/ta347}, journal={NICE}, year={2015}, month={Jul}} </t>
  </si>
  <si>
    <t>TA650</t>
  </si>
  <si>
    <t>Assumed Visual Inspection</t>
  </si>
  <si>
    <t xml:space="preserve">Pembro and A 3 months; Sutinib = 14 months </t>
  </si>
  <si>
    <t>For Sutinib although the final change-point is at 14 months, however, 2nd chagnepoint is at 3.1 months; unsure if due to digitzation; Risk set  is very sparse and patient number drops from 29 to 1. Depending on the number at risk the large drop towards the end of sutinib could be due to a small sample size or a large number of failures; hard to know without data.</t>
  </si>
  <si>
    <t>@misc{nice_2020, title={Pembrolizumab with axitinib for untreated advanced renal cell carcinoma: Technology Appraisal Guidance}, url={https://www.nice.org.uk/guidance/ta650}, journal={NICE}, year={2020}, month={Sep}}</t>
  </si>
  <si>
    <t>OS</t>
  </si>
  <si>
    <t>PFS</t>
  </si>
  <si>
    <t>Treatments</t>
  </si>
  <si>
    <t>Treatment Arm</t>
  </si>
  <si>
    <t>Timepoint for start of constant hazard segment - Company Submission</t>
  </si>
  <si>
    <t>Mean value of change-point for final segment - PEM</t>
  </si>
  <si>
    <t>Dabrafenib plus trametinib (D+T)</t>
  </si>
  <si>
    <t>"@misc{TA396, title={Trametinib in combination with dabrafenib for treating unresectable or metastatic melanoma: Technology Appraisal Guidance}, url={https://www.nice.org.uk/Guidance/TA396}, journal={National Institute for Health and Care Excellence.}, year={2016}, month={Jun}}</t>
  </si>
  <si>
    <t xml:space="preserve">Dabrafenib or Vemurafenib monotherapy (BRAF Inhibitor) </t>
  </si>
  <si>
    <t>NA</t>
  </si>
  <si>
    <t>Vemurafenib</t>
  </si>
  <si>
    <t xml:space="preserve">"@misc{TA269, title={Vemurafenib for treating locally advanced or metastatic BRAF&amp;nbsp;V600 mutation‑positive malignant melanoma: Technology Appraisal Guidance}, url={https://www.nice.org.uk/guidance/ta269}, journal={NICE}, year={2012}, month={Dec}} </t>
  </si>
  <si>
    <t xml:space="preserve">Dacarbazine </t>
  </si>
  <si>
    <t>Pembrolizumab</t>
  </si>
  <si>
    <t xml:space="preserve">"@misc{TA428, title={Pembrolizumab for treating PD-L1-positive non-small-cell lung cancer after chemotherapy: Technology Appraisal Guidance}, url={https://www.nice.org.uk/guidance/ta428}, journal={NICE}, year={2017}, month={Jan}} </t>
  </si>
  <si>
    <t>Glycoprotein 100 (GP100)</t>
  </si>
  <si>
    <t>"@misc{TA268, title={Ipilimumab for previously treated advanced (unresectable or metastatic) melanoma: Technology Appraisal Guidance}, url={https://www.nice.org.uk/guidance/ta268}, journal={NICE}, year={2012}, month={Dec}}</t>
  </si>
  <si>
    <t xml:space="preserve"> Ipilimumab (IPI)</t>
  </si>
  <si>
    <t>Nitedanib + Docetaxel (N+D)</t>
  </si>
  <si>
    <t xml:space="preserve"> "@misc{TA347, title={Nintedanib for previously treated locally advanced, metastatic, or locally recurrent non‑small‑cell lung cancer: Technology Appraisal Guidance}, url={https://www.nice.org.uk/guidance/ta347}, journal={NICE}, year={2015}, month={Jul}} </t>
  </si>
  <si>
    <t>Docetaxel (D)</t>
  </si>
  <si>
    <t>Pembrolizumab with axitinib (P+A)</t>
  </si>
  <si>
    <t>Details not available</t>
  </si>
  <si>
    <t>"@misc{TA650, title={Pembrolizumab with axitinib for untreated advanced renal cell carcinoma: Technology Appraisal Guidance}, url={https://www.nice.org.uk/guidance/ta650}, journal={NICE}, year={2020}, month={Sep}}</t>
  </si>
  <si>
    <t>Sunitinib (S)</t>
  </si>
  <si>
    <t>PFS and OS both arms tnote{1}</t>
  </si>
  <si>
    <t>R package ``SiZer'' used</t>
  </si>
  <si>
    <t>Dabrafenib plus trametinib</t>
  </si>
  <si>
    <t>Dabrafenib or Vemurafenib</t>
  </si>
  <si>
    <t>OS both arms  tnote{1}</t>
  </si>
  <si>
    <t>Glycoprotein 100</t>
  </si>
  <si>
    <t xml:space="preserve"> Ipilimumab</t>
  </si>
  <si>
    <t>Nintedanib + Docetaxel (N+D)</t>
  </si>
  <si>
    <t>Nintedanib + Docetaxel tnote{2}</t>
  </si>
  <si>
    <t>Docetaxel</t>
  </si>
  <si>
    <t>Pembrolizumab + Axitinib</t>
  </si>
  <si>
    <t>Sunitinib tnote{3}</t>
  </si>
  <si>
    <t>TA447</t>
  </si>
  <si>
    <t>OS both arms tnote{1}</t>
  </si>
  <si>
    <t>Reference Number per Gorrod Paper</t>
  </si>
  <si>
    <t>Reference as per Gorrod Paper</t>
  </si>
  <si>
    <t>TA Number - See Worksheet for reason for Inclusion/Exclusion</t>
  </si>
  <si>
    <t>Note</t>
  </si>
  <si>
    <t>National Institute for Health and Care Excellence. Abira_x0002_terone for castration-resistant metastatic prostate cancer
previously treated with a docetaxel-containing regimen. Technology appraisal guidance [TA259]. Available from:
https://www.nice.org.uk/guidance/ta259. Accessed July 2017</t>
  </si>
  <si>
    <t xml:space="preserve"> National Institute for Health and Care Excellence. Ipilimu_x0002_mab for previously treated advanced (unresectable or meta_x0002_static) melanoma. Technology appraisal guidance [TA268].
Available from: https://www.nice.org.uk/guidance/ta268. Accessed July 2017.</t>
  </si>
  <si>
    <t>National Institute for Health and Care Excellence. Bevacizumab in combination with gemcitabine and carboplatin
for treating the first recurrence of platinum-sensitive advanced ovarian cancer. Technology appraisal guidance [TA285]. Available from: https://www.nice.org.uk/guidance/ta285. Accessed July 2017.</t>
  </si>
  <si>
    <t>National Institute for Health and Care Excellence. Ipilimumab for previously untreated advanced (unresectable or
metastatic) melanoma. Technology appraisal guidance [TA319]. Available from: https://www.nice.org.uk/guidance/ta319. Accessed July 2017.</t>
  </si>
  <si>
    <t xml:space="preserve"> National Institute for Health and Care Excellence. Pem_x0002_brolizumab for treating advanced melanoma after disease
progression with ipilimumab. Technology appraisal guidance [TA357]. Available from: https://www.nice.org.uk/
guidance/ta357. Accessed July 2017.</t>
  </si>
  <si>
    <t>TA357</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</si>
  <si>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Accessed July 2017</t>
  </si>
  <si>
    <t>National Institute for Health and Care Excellence. Pem_x0002_brolizumab for advanced melanoma not previously treated
with ipilimumab. Technology appraisal guidance [TA366]. Available from: https://www.nice.org.uk/guidance/ta366. Accessed July 2017.</t>
  </si>
  <si>
    <t>TA366</t>
  </si>
  <si>
    <t xml:space="preserve"> National Institute for Health and Care Excellence. Erlotinib and gefitinib for treating non-small-cell lung cancer
that has progressed after prior chemotherapy. Technology
appraisal guidance [TA374]. Available from: https://www.nice.org.uk/guidance/ta374. Accessed July 2017.</t>
  </si>
  <si>
    <t>TA374</t>
  </si>
  <si>
    <t>National Institute for Health and Care Excellence. Trametinib in combination with dabrafenib for treating unresect_x0002_able or metastatic melanoma. Technology appraisal guidance [TA396]. Available from: https://www.nice.org .uk/guidance/ta396. Accessed July 2017.</t>
  </si>
  <si>
    <t>National Institute for Health and Care Excellence. Nivolumab in combination with ipilimumab for treating advanced
melanoma. Technology appraisal guidance [TA400]. Available from: https://www.nice.org.uk/guidance/ta400. Accessed
July 2017.</t>
  </si>
  <si>
    <t>TA400</t>
  </si>
  <si>
    <t>National Institute for Health and Care Excellence. Cobimetinib in combination with vemurafenib for treating
unresectable or metastatic BRAF V600 mutation-positive
melanoma. Technology appraisal guidance [TA414]. Available from: https://www.nice.org.uk/guidance/ta414. Accessed
July 2017.</t>
  </si>
  <si>
    <t>TA414</t>
  </si>
  <si>
    <t>National Institute for Health and Care Excellence. Nivolumab for previously treated advanced renal cell carcinoma.
Technology appraisal guidance [TA417]. Available from:
https://www.nice.org.uk/guidance/ta417. Accessed July 2017.</t>
  </si>
  <si>
    <t>TA417</t>
  </si>
  <si>
    <t>National Institute for Health and Care Excellence. Pem_x0002_brolizumab for treating PD-L1-positive non-small-cell lung
cancer after chemotherapy. Technology appraisal guidance
[TA428]. Available from: https://www.nice.org.uk/gui_x0002_dance/ta428. Accessed July 2017.</t>
  </si>
  <si>
    <t>National Institute for Health and Care Excellence. Vemurafenib for treating locally advanced or metastatic BRAF
V600 mutation-positive malignant melanoma. Technology appraisal guidance [TA269]. Available from: https://www.nice.org.uk/guidance/ta269. Accessed July 2017.</t>
  </si>
  <si>
    <t>Not identified as Piecewise by Gorrod et al.</t>
  </si>
  <si>
    <t xml:space="preserve"> National Institute for Health and Care Excellence. Nintedanib for previously treated locally advanced, metastatic,
or locally recurrent non-small-cell lung cancer. Technology appraisal guidance [TA347]. Available from: https://
www.nice.org.uk/guidance/ta347. accessed July 2017.</t>
  </si>
  <si>
    <t>N/A</t>
  </si>
  <si>
    <t>Pembrolizumab for untreated PD-L1-positive metastatic non-small-cell lung cancer - No updated and replaced by TA531</t>
  </si>
  <si>
    <t>Not referenced in Gorrod, Within scope of review "the scope was restricted to completed NICE STAs for cancer treatments that commenced between July 1, 2011, and June 30, 2017"</t>
  </si>
  <si>
    <t>Included in Analysis</t>
  </si>
  <si>
    <t>Bell Gorrod H, Kearns B, Stevens J, et al. A Review of Survival Analysis Methods Used in NICE Technology Appraisals of Cancer Treatments: Consistency, Limitations, and Areas for Improvement. Medical Decision Making. 2019;39(8):899-909. doi:10.1177/0272989X19881967</t>
  </si>
  <si>
    <t>Location</t>
  </si>
  <si>
    <t>Information</t>
  </si>
  <si>
    <t>Section/Figure/Page</t>
  </si>
  <si>
    <t>Hyperlink</t>
  </si>
  <si>
    <t>ERG report</t>
  </si>
  <si>
    <t>Was B&amp;B used?</t>
  </si>
  <si>
    <t>Section 1.5 - page 15</t>
  </si>
  <si>
    <t>Company Submission</t>
  </si>
  <si>
    <t>6.3.7 - page 98</t>
  </si>
  <si>
    <t>ERG Report</t>
  </si>
  <si>
    <t>Change-point assumed by ERG</t>
  </si>
  <si>
    <t>Figure 10 Long-term OS projection trends used in ERG exploratory analysis;Also see pages 66-67</t>
  </si>
  <si>
    <t>Kaplan-Meier survival curves</t>
  </si>
  <si>
    <t>Figure 14 Overall survival – modelled data vs Kaplan Meier data, single curve fit (pages 103-104)</t>
  </si>
  <si>
    <t xml:space="preserve">Pivitol Trial </t>
  </si>
  <si>
    <t>Risk Sets for KM curves</t>
  </si>
  <si>
    <t>Used to obtain Number at risk for digitization</t>
  </si>
  <si>
    <t>https://www.ncbi.nlm.nih.gov/pmc/articles/PMC3549297/pdf/nihms-431916.pdf</t>
  </si>
  <si>
    <t>Changepoint locations</t>
  </si>
  <si>
    <t>Days to Years</t>
  </si>
  <si>
    <t>Years to Months</t>
  </si>
  <si>
    <t>Pooled</t>
  </si>
  <si>
    <t>Ipi + gp100</t>
  </si>
  <si>
    <t>Ipi alone</t>
  </si>
  <si>
    <t>Ipi Arm</t>
  </si>
  <si>
    <t>Age</t>
  </si>
  <si>
    <t>Male</t>
  </si>
  <si>
    <t>Weight</t>
  </si>
  <si>
    <t>Section (Reference within Text)</t>
  </si>
  <si>
    <t>Pivotal Trial publication - Improved Survival with Vemurafenib in Melanoma with BRAF V600E Mutation Chapman et al 2011</t>
  </si>
  <si>
    <t>KM Curves</t>
  </si>
  <si>
    <t>page 2512</t>
  </si>
  <si>
    <t>Improved Survival with Vemurafenib in Melanoma with BRAF V600E Mutation (nejm.org)</t>
  </si>
  <si>
    <t>Changepoint Locations</t>
  </si>
  <si>
    <t>page 149-151</t>
  </si>
  <si>
    <t>https://www.nice.org.uk/guidance/ta269/documents/melanoma-braf-v600-mutation-positive-unresectable-metastatic-vemurafenib-roche-products4</t>
  </si>
  <si>
    <t>Baseline Characteristics</t>
  </si>
  <si>
    <t>page pg 52</t>
  </si>
  <si>
    <t>Digitized Data</t>
  </si>
  <si>
    <t>Dacarbazine</t>
  </si>
  <si>
    <t>B&amp;B approach used?</t>
  </si>
  <si>
    <t>page 135</t>
  </si>
  <si>
    <t>KM Curve - PFS</t>
  </si>
  <si>
    <t xml:space="preserve">pg 90 </t>
  </si>
  <si>
    <t>https://www.nice.org.uk/guidance/ta347</t>
  </si>
  <si>
    <t>Change-point locations</t>
  </si>
  <si>
    <t>pg 87-90</t>
  </si>
  <si>
    <t>KM Curve - OS</t>
  </si>
  <si>
    <t>pg 92 - Figure 10</t>
  </si>
  <si>
    <t>Trial Manuscript</t>
  </si>
  <si>
    <t>Baseline Charachteristics</t>
  </si>
  <si>
    <t>Table 1</t>
  </si>
  <si>
    <t>Efficacy and Safety of Nintedanib Plus Docetaxel in Patients with Advanced Lung Adenocarcinoma: Complementary and Exploratory Analyses of the Phase III LUME-Lung 1 Study | SpringerLink</t>
  </si>
  <si>
    <t>page 71</t>
  </si>
  <si>
    <t>melanoma-previously-untreated-unresectable-stage-iii-or-iv-ipilimumab-id74-evaluation-report2 (nice.org.uk)</t>
  </si>
  <si>
    <t>Final Appraisal Determination (FAD) report</t>
  </si>
  <si>
    <t>page 10</t>
  </si>
  <si>
    <t>page 428</t>
  </si>
  <si>
    <t>https://www.nice.org.uk/guidance/ta366/documents/committee-papers</t>
  </si>
  <si>
    <t xml:space="preserve"> Mixed data sources rather than assuming different hazards</t>
  </si>
  <si>
    <t xml:space="preserve">Source </t>
  </si>
  <si>
    <t xml:space="preserve">Committee Papers do not give sufficient detail </t>
  </si>
  <si>
    <t>Final Appraisal Determination does not give sufficient detail either</t>
  </si>
  <si>
    <t>1 (nice.org.uk)</t>
  </si>
  <si>
    <t>Was B&amp;B used - PFS?</t>
  </si>
  <si>
    <t>page 7</t>
  </si>
  <si>
    <t>Pre-meeting briefing</t>
  </si>
  <si>
    <t>Was B&amp;B used - OS?</t>
  </si>
  <si>
    <t>page 43</t>
  </si>
  <si>
    <t>Change-point location</t>
  </si>
  <si>
    <t>5.3.1. Incorporation of the clinical data in the model - page 192</t>
  </si>
  <si>
    <t xml:space="preserve">Company Submission </t>
  </si>
  <si>
    <t>Kaplan Meier Curves COMBI-D</t>
  </si>
  <si>
    <t>page 104 &amp; page 106</t>
  </si>
  <si>
    <t>Kaplan Meier Curves COMBI-V</t>
  </si>
  <si>
    <t>page 113 &amp; page 115</t>
  </si>
  <si>
    <t>Pivotal Trial</t>
  </si>
  <si>
    <t>Updated OS Kaplan Meier Curve (Dabrafenib + trametinib only) - Five-Year Outcomes with Dabrafenib plus Trametinib in Metastatic Melanoma</t>
  </si>
  <si>
    <t>Figure 1 and 2</t>
  </si>
  <si>
    <t>Five-Year Outcomes with Dabrafenib plus Trametinib in Metastatic Melanoma | NEJM</t>
  </si>
  <si>
    <t>COMBI-V</t>
  </si>
  <si>
    <t>COMBI-D</t>
  </si>
  <si>
    <t>Taf-Mek arm</t>
  </si>
  <si>
    <t>Committee papers</t>
  </si>
  <si>
    <t>Was B&amp;B used ?</t>
  </si>
  <si>
    <t>page 159</t>
  </si>
  <si>
    <t>committee-papers-2 (nice.org.uk)</t>
  </si>
  <si>
    <t>page 204</t>
  </si>
  <si>
    <t>Only seems to be done for treatment duration</t>
  </si>
  <si>
    <t>page 183</t>
  </si>
  <si>
    <t>Does not seem that piecewise modelling was employed.</t>
  </si>
  <si>
    <t>page 225-228</t>
  </si>
  <si>
    <t>Pivotal trial</t>
  </si>
  <si>
    <t>Kaplan-Meirer OS - Initial</t>
  </si>
  <si>
    <t>Figure 2 (2mg/kg was extracted)</t>
  </si>
  <si>
    <t>Pembrolizumab versus docetaxel for previously treated, PD-L1-positive, advanced non-small-cell lung cancer (KEYNOTE-010): a randomised controlled trial - The Lancet</t>
  </si>
  <si>
    <t>Kaplan-Meirer OS - Update</t>
  </si>
  <si>
    <t>Figure 1 (TPS &gt;= 1% was extracted)</t>
  </si>
  <si>
    <t>Five Year Survival Update From KEYNOTE-010: Pembrolizumab Versus Docetaxel for Previously Treated, Programmed Death-Ligand 1–Positive Advanced NSCLC - Journal of Thoracic Oncology (jto.org)</t>
  </si>
  <si>
    <t>Pembrolizumab 2mg/kg</t>
  </si>
  <si>
    <t>page 458</t>
  </si>
  <si>
    <t>Uncelar; ERG possibly assumed KM + Extrapolation but not clear if exponential or other parametric model used (Was used in TA360, however, cannot access that anymore).</t>
  </si>
  <si>
    <t>Committee papers (Pre-meeting briefing)</t>
  </si>
  <si>
    <t>Was B&amp;B used? (and Changepoint location)</t>
  </si>
  <si>
    <t>page 53</t>
  </si>
  <si>
    <t>committee-papers-3 (nice.org.uk)</t>
  </si>
  <si>
    <t>page 20</t>
  </si>
  <si>
    <t>Committee papers (Pre-meeting briefing) - TA531</t>
  </si>
  <si>
    <t>page 76</t>
  </si>
  <si>
    <t>committee-papers-pdf-4909657501 (nice.org.uk)</t>
  </si>
  <si>
    <t>page 45</t>
  </si>
  <si>
    <t>page 117</t>
  </si>
  <si>
    <t>Updated TA531</t>
  </si>
  <si>
    <t>TA477</t>
  </si>
  <si>
    <t>https://www.nice.org.uk/guidance/ta531/documents/committee-papers-3</t>
  </si>
  <si>
    <t>15.National Institute for Health and Care Excellence. Abiraterone for castration-resistant metastatic prostate cancer previously treated with a docetaxel-containing regimen. Technology appraisal guidance [TA259]. Available from: https://www.nice.org.uk/guidance/ta259. Accessed July 2017.</t>
  </si>
  <si>
    <t>20. 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</si>
  <si>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Assuemed KM+Log logistic for OS</t>
  </si>
  <si>
    <t xml:space="preserve"> National Institute for Health and Care Excellence. Pacli_x0002_taxel as albumin-bound nanoparticles in combination with
gemcitabine for previously untreated metastatic pancreatic
cancer. Technology appraisal guidance [TA360]. Available
from: https://www.nice.org.uk/guidance/ta360. Accessed
July 2017.</t>
  </si>
  <si>
    <t>ERG assumed KM + Extrapolation but not clear if it is Parmateric or exponential</t>
  </si>
  <si>
    <t>Refrence from TA396</t>
  </si>
  <si>
    <t xml:space="preserve"> https://www.nice.org.uk/guidance/ta269/resources/melanoma-braf-v600-mutation-positive-unresectable-metastatic-vemurafenib-final-appraisal-determination-document2; https://www.nice.org.uk/guidance/ta269/documents/melanoma-braf-v600-mutation-positive-unresectable-metastatic-vemurafenib-roche-products4</t>
  </si>
  <si>
    <t>Do not adjust Docetaxel due to treatment switching</t>
  </si>
  <si>
    <t>Have data for KEYNOTE-10 studies both 2 and 5 year</t>
  </si>
  <si>
    <t xml:space="preserve">See Evaluation Report - ERG </t>
  </si>
  <si>
    <t>Manufacturer used KM + Weibull data</t>
  </si>
  <si>
    <t>https://www.nice.org.uk/guidance/ta384/documents/final-appraisal-determination-document</t>
  </si>
  <si>
    <t>TA384</t>
  </si>
  <si>
    <t>National Institute for Health and Care Excellence. Nivolu_x0002_mab for treating advanced (unresectable or metastatic) melanoma. Technology appraisal guidance [TA384]. Available from: https://www.nice.org.uk/guidance/ta384. accessed July 2017.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</si>
</sst>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8" formatCode="&quot;€&quot;#,##0.00;[Red]\-&quot;€&quot;#,##0.00"/>
    <numFmt numFmtId="164" formatCode="0.000"/>
  </numFmts>
  <fonts count="7" x14ac:knownFonts="1">
    <font>
      <sz val="11"/>
      <color theme="1"/>
      <name val="Calibri"/>
      <family val="2"/>
      <scheme val="minor"/>
    </font>
    <font>
      <u/>
      <sz val="11"/>
      <color theme="10"/>
      <name val="Calibri"/>
      <family val="2"/>
      <scheme val="minor"/>
    </font>
    <font>
      <u/>
      <sz val="11"/>
      <color theme="1"/>
      <name val="Calibri"/>
      <family val="2"/>
      <scheme val="minor"/>
    </font>
    <font>
      <b/>
      <u/>
      <sz val="11"/>
      <color theme="1"/>
      <name val="Calibri"/>
      <family val="2"/>
      <scheme val="minor"/>
    </font>
    <font>
      <b/>
      <i/>
      <u/>
      <sz val="11"/>
      <color theme="1"/>
      <name val="Calibri"/>
      <family val="2"/>
      <scheme val="minor"/>
    </font>
    <font>
      <i/>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9" tint="0.39997558519241921"/>
        <bgColor indexed="64"/>
      </patternFill>
    </fill>
  </fills>
  <borders count="30">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style="medium">
        <color indexed="64"/>
      </bottom>
      <diagonal/>
    </border>
    <border>
      <left style="thin">
        <color indexed="64"/>
      </left>
      <right style="thin">
        <color indexed="64"/>
      </right>
      <top/>
      <bottom/>
      <diagonal/>
    </border>
  </borders>
  <cellStyleXfs count="2">
    <xf numFmtId="0" fontId="0" fillId="0" borderId="0"/>
    <xf numFmtId="0" fontId="1" fillId="0" borderId="0" applyNumberFormat="0" applyFill="0" applyBorder="0" applyAlignment="0" applyProtection="0"/>
  </cellStyleXfs>
  <cellXfs count="133">
    <xf numFmtId="0" fontId="0" fillId="0" borderId="0" xfId="0"/>
    <xf numFmtId="0" fontId="1" fillId="0" borderId="0" xfId="1"/>
    <xf numFmtId="0" fontId="0" fillId="0" borderId="0" xfId="0" applyAlignment="1">
      <alignment wrapText="1"/>
    </xf>
    <xf numFmtId="0" fontId="0" fillId="0" borderId="2" xfId="0" applyBorder="1"/>
    <xf numFmtId="0" fontId="1" fillId="0" borderId="2" xfId="1" applyBorder="1"/>
    <xf numFmtId="0" fontId="0" fillId="0" borderId="3" xfId="0" applyBorder="1"/>
    <xf numFmtId="0" fontId="0" fillId="0" borderId="5" xfId="0" applyBorder="1"/>
    <xf numFmtId="0" fontId="1" fillId="0" borderId="5" xfId="1" applyBorder="1"/>
    <xf numFmtId="0" fontId="0" fillId="0" borderId="6" xfId="0" applyBorder="1"/>
    <xf numFmtId="0" fontId="0" fillId="0" borderId="7" xfId="0" applyBorder="1" applyAlignment="1">
      <alignment wrapText="1"/>
    </xf>
    <xf numFmtId="0" fontId="0" fillId="0" borderId="8" xfId="0" applyBorder="1"/>
    <xf numFmtId="0" fontId="1" fillId="0" borderId="8" xfId="1" applyBorder="1"/>
    <xf numFmtId="0" fontId="0" fillId="0" borderId="9" xfId="0" applyBorder="1"/>
    <xf numFmtId="0" fontId="0" fillId="0" borderId="8" xfId="0" applyBorder="1" applyAlignment="1">
      <alignment wrapText="1"/>
    </xf>
    <xf numFmtId="0" fontId="0" fillId="0" borderId="1" xfId="0" applyBorder="1" applyAlignment="1">
      <alignment wrapText="1"/>
    </xf>
    <xf numFmtId="0" fontId="0" fillId="0" borderId="3" xfId="0" applyBorder="1" applyAlignment="1">
      <alignment wrapText="1"/>
    </xf>
    <xf numFmtId="0" fontId="0" fillId="0" borderId="4" xfId="0" applyBorder="1"/>
    <xf numFmtId="0" fontId="0" fillId="0" borderId="0" xfId="0" applyFill="1" applyBorder="1"/>
    <xf numFmtId="0" fontId="0" fillId="0" borderId="8" xfId="0" applyFill="1" applyBorder="1"/>
    <xf numFmtId="0" fontId="0" fillId="0" borderId="2" xfId="0" applyFill="1" applyBorder="1"/>
    <xf numFmtId="0" fontId="0" fillId="0" borderId="0" xfId="0" applyAlignment="1">
      <alignment horizontal="left" vertical="center" indent="4"/>
    </xf>
    <xf numFmtId="0" fontId="0" fillId="0" borderId="10" xfId="0" applyBorder="1" applyAlignment="1"/>
    <xf numFmtId="0" fontId="0" fillId="0" borderId="0" xfId="0" applyAlignment="1">
      <alignment horizontal="left"/>
    </xf>
    <xf numFmtId="0" fontId="0" fillId="0" borderId="0" xfId="0" applyBorder="1" applyAlignment="1">
      <alignment horizontal="left" wrapText="1"/>
    </xf>
    <xf numFmtId="0" fontId="0" fillId="0" borderId="0" xfId="0" applyBorder="1" applyAlignment="1">
      <alignment horizontal="center"/>
    </xf>
    <xf numFmtId="0" fontId="0" fillId="0" borderId="0" xfId="0" applyAlignment="1">
      <alignment horizontal="left" wrapText="1"/>
    </xf>
    <xf numFmtId="0" fontId="0" fillId="0" borderId="12" xfId="0" applyBorder="1" applyAlignment="1">
      <alignment horizontal="center"/>
    </xf>
    <xf numFmtId="0" fontId="0" fillId="0" borderId="12" xfId="0" applyFill="1" applyBorder="1" applyAlignment="1">
      <alignment horizontal="center"/>
    </xf>
    <xf numFmtId="0" fontId="0" fillId="0" borderId="0" xfId="0" applyBorder="1" applyAlignment="1">
      <alignment horizontal="center" wrapText="1"/>
    </xf>
    <xf numFmtId="0" fontId="0" fillId="0" borderId="0" xfId="0" applyAlignment="1">
      <alignment vertical="top"/>
    </xf>
    <xf numFmtId="0" fontId="0" fillId="0" borderId="0" xfId="0" applyBorder="1" applyAlignment="1">
      <alignment horizontal="left" vertical="top" wrapText="1"/>
    </xf>
    <xf numFmtId="0" fontId="0" fillId="0" borderId="0" xfId="0" applyBorder="1" applyAlignment="1">
      <alignment horizontal="left"/>
    </xf>
    <xf numFmtId="0" fontId="0" fillId="0" borderId="0" xfId="0" applyFill="1" applyBorder="1" applyAlignment="1">
      <alignment horizontal="left" wrapText="1"/>
    </xf>
    <xf numFmtId="0" fontId="1" fillId="0" borderId="0" xfId="1" applyAlignment="1">
      <alignment horizontal="left"/>
    </xf>
    <xf numFmtId="0" fontId="1" fillId="0" borderId="0" xfId="1" applyAlignment="1">
      <alignment horizontal="left" wrapText="1"/>
    </xf>
    <xf numFmtId="0" fontId="1" fillId="0" borderId="0" xfId="1" applyBorder="1" applyAlignment="1">
      <alignment horizontal="left" wrapText="1"/>
    </xf>
    <xf numFmtId="0" fontId="0" fillId="0" borderId="15" xfId="0" applyBorder="1"/>
    <xf numFmtId="0" fontId="0" fillId="0" borderId="16" xfId="0" applyBorder="1"/>
    <xf numFmtId="0" fontId="0" fillId="0" borderId="16" xfId="0" applyBorder="1" applyAlignment="1">
      <alignment wrapText="1"/>
    </xf>
    <xf numFmtId="0" fontId="0" fillId="0" borderId="17" xfId="0" applyBorder="1" applyAlignment="1">
      <alignment wrapText="1"/>
    </xf>
    <xf numFmtId="0" fontId="0" fillId="0" borderId="0" xfId="0" applyBorder="1" applyAlignment="1">
      <alignment wrapText="1"/>
    </xf>
    <xf numFmtId="0" fontId="0" fillId="0" borderId="18" xfId="0" applyBorder="1" applyAlignment="1">
      <alignment vertical="top"/>
    </xf>
    <xf numFmtId="0" fontId="0" fillId="0" borderId="19" xfId="0" applyBorder="1" applyAlignment="1">
      <alignment horizontal="left" wrapText="1"/>
    </xf>
    <xf numFmtId="0" fontId="0" fillId="0" borderId="20" xfId="0" applyBorder="1" applyAlignment="1">
      <alignment vertical="top"/>
    </xf>
    <xf numFmtId="0" fontId="0" fillId="0" borderId="21" xfId="0" applyBorder="1" applyAlignment="1">
      <alignment horizontal="left" wrapText="1"/>
    </xf>
    <xf numFmtId="0" fontId="0" fillId="0" borderId="22" xfId="0" applyBorder="1" applyAlignment="1">
      <alignment horizontal="left" wrapText="1"/>
    </xf>
    <xf numFmtId="0" fontId="0" fillId="0" borderId="15" xfId="0" applyBorder="1" applyAlignment="1">
      <alignment vertical="top"/>
    </xf>
    <xf numFmtId="0" fontId="0" fillId="0" borderId="16" xfId="0" applyBorder="1" applyAlignment="1">
      <alignment horizontal="left" wrapText="1"/>
    </xf>
    <xf numFmtId="0" fontId="0" fillId="0" borderId="17" xfId="0" applyBorder="1" applyAlignment="1">
      <alignment horizontal="left" wrapText="1"/>
    </xf>
    <xf numFmtId="0" fontId="0" fillId="0" borderId="23" xfId="0" applyBorder="1"/>
    <xf numFmtId="0" fontId="0" fillId="0" borderId="24" xfId="0" applyBorder="1"/>
    <xf numFmtId="0" fontId="0" fillId="0" borderId="15" xfId="0" applyBorder="1" applyAlignment="1">
      <alignment wrapText="1"/>
    </xf>
    <xf numFmtId="0" fontId="0" fillId="0" borderId="20" xfId="0" applyBorder="1" applyAlignment="1">
      <alignment wrapText="1"/>
    </xf>
    <xf numFmtId="0" fontId="0" fillId="0" borderId="21" xfId="0" applyBorder="1" applyAlignment="1">
      <alignment wrapText="1"/>
    </xf>
    <xf numFmtId="0" fontId="0" fillId="0" borderId="22" xfId="0" applyBorder="1" applyAlignment="1">
      <alignment wrapText="1"/>
    </xf>
    <xf numFmtId="0" fontId="0" fillId="0" borderId="2" xfId="0" applyBorder="1" applyAlignment="1">
      <alignment wrapText="1"/>
    </xf>
    <xf numFmtId="0" fontId="0" fillId="0" borderId="16" xfId="0" applyBorder="1" applyAlignment="1">
      <alignment horizontal="left"/>
    </xf>
    <xf numFmtId="0" fontId="0" fillId="0" borderId="17" xfId="0" applyBorder="1" applyAlignment="1">
      <alignment horizontal="left"/>
    </xf>
    <xf numFmtId="0" fontId="0" fillId="0" borderId="21" xfId="0" applyBorder="1" applyAlignment="1">
      <alignment horizontal="left"/>
    </xf>
    <xf numFmtId="0" fontId="0" fillId="0" borderId="22" xfId="0" applyBorder="1" applyAlignment="1">
      <alignment horizontal="left"/>
    </xf>
    <xf numFmtId="0" fontId="0" fillId="0" borderId="26" xfId="0" applyBorder="1" applyAlignment="1">
      <alignment vertical="top" wrapText="1"/>
    </xf>
    <xf numFmtId="0" fontId="0" fillId="0" borderId="24" xfId="0" applyBorder="1" applyAlignment="1">
      <alignment horizontal="left" wrapText="1"/>
    </xf>
    <xf numFmtId="0" fontId="0" fillId="0" borderId="25" xfId="0" applyBorder="1" applyAlignment="1">
      <alignment horizontal="left" wrapText="1"/>
    </xf>
    <xf numFmtId="0" fontId="0" fillId="0" borderId="27" xfId="0" applyBorder="1" applyAlignment="1">
      <alignment vertical="top"/>
    </xf>
    <xf numFmtId="0" fontId="0" fillId="0" borderId="16" xfId="0" applyBorder="1" applyAlignment="1">
      <alignment horizontal="center"/>
    </xf>
    <xf numFmtId="0" fontId="0" fillId="0" borderId="16" xfId="0" applyBorder="1" applyAlignment="1">
      <alignment horizontal="center" wrapText="1"/>
    </xf>
    <xf numFmtId="1" fontId="0" fillId="0" borderId="16" xfId="0" applyNumberFormat="1" applyBorder="1" applyAlignment="1">
      <alignment horizontal="left"/>
    </xf>
    <xf numFmtId="1" fontId="0" fillId="0" borderId="17" xfId="0" applyNumberFormat="1" applyBorder="1" applyAlignment="1">
      <alignment horizontal="left"/>
    </xf>
    <xf numFmtId="0" fontId="0" fillId="0" borderId="28" xfId="0" applyBorder="1" applyAlignment="1">
      <alignment vertical="top"/>
    </xf>
    <xf numFmtId="0" fontId="0" fillId="0" borderId="21" xfId="0" applyBorder="1" applyAlignment="1">
      <alignment horizontal="center"/>
    </xf>
    <xf numFmtId="0" fontId="0" fillId="0" borderId="21" xfId="0" applyBorder="1" applyAlignment="1">
      <alignment horizontal="center" wrapText="1"/>
    </xf>
    <xf numFmtId="1" fontId="0" fillId="0" borderId="21" xfId="0" applyNumberFormat="1" applyBorder="1" applyAlignment="1">
      <alignment horizontal="left"/>
    </xf>
    <xf numFmtId="1" fontId="0" fillId="0" borderId="22" xfId="0" applyNumberFormat="1" applyBorder="1" applyAlignment="1">
      <alignment horizontal="left"/>
    </xf>
    <xf numFmtId="0" fontId="0" fillId="0" borderId="16" xfId="0" applyFill="1" applyBorder="1" applyAlignment="1">
      <alignment horizontal="left" wrapText="1"/>
    </xf>
    <xf numFmtId="0" fontId="0" fillId="0" borderId="21" xfId="0" applyBorder="1"/>
    <xf numFmtId="0" fontId="0" fillId="0" borderId="21" xfId="0" applyFill="1" applyBorder="1" applyAlignment="1">
      <alignment horizontal="left" wrapText="1"/>
    </xf>
    <xf numFmtId="0" fontId="0" fillId="0" borderId="17" xfId="0" applyFill="1" applyBorder="1" applyAlignment="1">
      <alignment horizontal="left" wrapText="1"/>
    </xf>
    <xf numFmtId="0" fontId="0" fillId="0" borderId="22" xfId="0" applyBorder="1"/>
    <xf numFmtId="0" fontId="0" fillId="2" borderId="7" xfId="0" applyFill="1" applyBorder="1" applyAlignment="1">
      <alignment wrapText="1"/>
    </xf>
    <xf numFmtId="0" fontId="0" fillId="2" borderId="0" xfId="0" applyFill="1"/>
    <xf numFmtId="8" fontId="0" fillId="0" borderId="0" xfId="0" applyNumberFormat="1" applyAlignment="1">
      <alignment wrapText="1"/>
    </xf>
    <xf numFmtId="8" fontId="0" fillId="0" borderId="0" xfId="0" applyNumberFormat="1"/>
    <xf numFmtId="0" fontId="0" fillId="3" borderId="0" xfId="0" applyFill="1"/>
    <xf numFmtId="0" fontId="0" fillId="0" borderId="8" xfId="0" applyBorder="1" applyAlignment="1">
      <alignment vertical="center"/>
    </xf>
    <xf numFmtId="0" fontId="0" fillId="0" borderId="8" xfId="0" applyFill="1" applyBorder="1" applyAlignment="1">
      <alignment vertical="center"/>
    </xf>
    <xf numFmtId="0" fontId="0" fillId="0" borderId="2" xfId="0" applyFill="1" applyBorder="1" applyAlignment="1">
      <alignment vertical="center"/>
    </xf>
    <xf numFmtId="0" fontId="0" fillId="0" borderId="12" xfId="0" applyBorder="1"/>
    <xf numFmtId="0" fontId="1" fillId="0" borderId="12" xfId="1" applyBorder="1"/>
    <xf numFmtId="0" fontId="2" fillId="0" borderId="0" xfId="0" applyFont="1"/>
    <xf numFmtId="0" fontId="0" fillId="0" borderId="12" xfId="0" applyFill="1" applyBorder="1"/>
    <xf numFmtId="0" fontId="0" fillId="0" borderId="12" xfId="0" applyBorder="1" applyAlignment="1"/>
    <xf numFmtId="0" fontId="0" fillId="0" borderId="12" xfId="0" applyBorder="1" applyAlignment="1">
      <alignment wrapText="1"/>
    </xf>
    <xf numFmtId="0" fontId="3" fillId="0" borderId="0" xfId="0" applyFont="1"/>
    <xf numFmtId="0" fontId="4" fillId="0" borderId="0" xfId="0" applyFont="1"/>
    <xf numFmtId="0" fontId="0" fillId="0" borderId="12" xfId="0" applyFill="1" applyBorder="1" applyAlignment="1"/>
    <xf numFmtId="0" fontId="5" fillId="0" borderId="0" xfId="0" applyFont="1"/>
    <xf numFmtId="0" fontId="0" fillId="0" borderId="8" xfId="0" applyBorder="1" applyAlignment="1"/>
    <xf numFmtId="0" fontId="5" fillId="0" borderId="8" xfId="0" applyFont="1" applyBorder="1"/>
    <xf numFmtId="0" fontId="5" fillId="0" borderId="0" xfId="0" applyFont="1" applyBorder="1"/>
    <xf numFmtId="0" fontId="0" fillId="0" borderId="0" xfId="0" applyBorder="1"/>
    <xf numFmtId="0" fontId="0" fillId="0" borderId="12" xfId="0" applyBorder="1" applyAlignment="1">
      <alignment vertical="center"/>
    </xf>
    <xf numFmtId="0" fontId="6" fillId="0" borderId="0" xfId="0" applyFont="1"/>
    <xf numFmtId="0" fontId="6" fillId="0" borderId="0" xfId="0" applyFont="1" applyAlignment="1">
      <alignment wrapText="1"/>
    </xf>
    <xf numFmtId="164" fontId="0" fillId="0" borderId="0" xfId="0" applyNumberFormat="1"/>
    <xf numFmtId="164" fontId="0" fillId="2" borderId="12" xfId="0" applyNumberFormat="1" applyFill="1" applyBorder="1"/>
    <xf numFmtId="0" fontId="0" fillId="0" borderId="1" xfId="0" applyBorder="1" applyAlignment="1">
      <alignment horizontal="left" vertical="top" wrapText="1"/>
    </xf>
    <xf numFmtId="0" fontId="0" fillId="0" borderId="5" xfId="0" applyBorder="1" applyAlignment="1">
      <alignment vertical="center"/>
    </xf>
    <xf numFmtId="0" fontId="0" fillId="0" borderId="13" xfId="0" applyFill="1" applyBorder="1" applyAlignment="1">
      <alignment horizontal="center"/>
    </xf>
    <xf numFmtId="0" fontId="0" fillId="0" borderId="13" xfId="0" applyBorder="1" applyAlignment="1">
      <alignment horizontal="center"/>
    </xf>
    <xf numFmtId="0" fontId="0" fillId="0" borderId="2" xfId="0" applyBorder="1" applyAlignment="1">
      <alignment horizontal="center"/>
    </xf>
    <xf numFmtId="0" fontId="0" fillId="0" borderId="5" xfId="0" applyBorder="1" applyAlignment="1">
      <alignment horizontal="center"/>
    </xf>
    <xf numFmtId="0" fontId="0" fillId="0" borderId="2" xfId="0" applyFill="1" applyBorder="1" applyAlignment="1">
      <alignment horizontal="center"/>
    </xf>
    <xf numFmtId="0" fontId="0" fillId="0" borderId="5" xfId="0" applyFill="1" applyBorder="1" applyAlignment="1">
      <alignment horizontal="center"/>
    </xf>
    <xf numFmtId="0" fontId="0" fillId="0" borderId="1" xfId="0" applyBorder="1" applyAlignment="1">
      <alignment horizontal="left" vertical="top" wrapText="1"/>
    </xf>
    <xf numFmtId="0" fontId="0" fillId="0" borderId="4" xfId="0" applyBorder="1" applyAlignment="1">
      <alignment horizontal="left" vertical="top" wrapText="1"/>
    </xf>
    <xf numFmtId="0" fontId="0" fillId="0" borderId="12" xfId="0" applyBorder="1" applyAlignment="1">
      <alignment horizontal="center" vertical="center"/>
    </xf>
    <xf numFmtId="0" fontId="0" fillId="0" borderId="2" xfId="0" applyBorder="1" applyAlignment="1">
      <alignment vertical="center"/>
    </xf>
    <xf numFmtId="0" fontId="0" fillId="0" borderId="5" xfId="0" applyBorder="1" applyAlignment="1">
      <alignment vertical="center"/>
    </xf>
    <xf numFmtId="0" fontId="0" fillId="0" borderId="1" xfId="0" applyBorder="1" applyAlignment="1">
      <alignment horizontal="left" wrapText="1"/>
    </xf>
    <xf numFmtId="0" fontId="0" fillId="0" borderId="4" xfId="0" applyBorder="1" applyAlignment="1">
      <alignment horizontal="left" wrapText="1"/>
    </xf>
    <xf numFmtId="0" fontId="0" fillId="0" borderId="2" xfId="0" applyBorder="1" applyAlignment="1">
      <alignment horizontal="center" wrapText="1"/>
    </xf>
    <xf numFmtId="0" fontId="0" fillId="0" borderId="5" xfId="0" applyBorder="1" applyAlignment="1">
      <alignment horizontal="center" wrapText="1"/>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3" xfId="0" applyFill="1" applyBorder="1" applyAlignment="1">
      <alignment horizontal="center"/>
    </xf>
    <xf numFmtId="0" fontId="0" fillId="0" borderId="14" xfId="0" applyFill="1" applyBorder="1" applyAlignment="1">
      <alignment horizontal="center"/>
    </xf>
    <xf numFmtId="0" fontId="0" fillId="0" borderId="11" xfId="0" applyBorder="1" applyAlignment="1">
      <alignment vertical="top" wrapText="1"/>
    </xf>
    <xf numFmtId="0" fontId="0" fillId="0" borderId="11" xfId="0" applyBorder="1" applyAlignment="1">
      <alignment vertical="top"/>
    </xf>
    <xf numFmtId="0" fontId="0" fillId="0" borderId="13" xfId="0" applyBorder="1" applyAlignment="1">
      <alignment horizontal="center"/>
    </xf>
    <xf numFmtId="0" fontId="0" fillId="0" borderId="14" xfId="0" applyBorder="1" applyAlignment="1">
      <alignment horizontal="center"/>
    </xf>
    <xf numFmtId="0" fontId="1" fillId="0" borderId="13" xfId="1" applyBorder="1" applyAlignment="1">
      <alignment horizontal="center" vertical="center" wrapText="1"/>
    </xf>
    <xf numFmtId="0" fontId="1" fillId="0" borderId="29" xfId="1" applyBorder="1" applyAlignment="1">
      <alignment horizontal="center" vertical="center" wrapText="1"/>
    </xf>
    <xf numFmtId="0" fontId="1" fillId="0" borderId="14" xfId="1" applyBorder="1"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4.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png"/><Relationship Id="rId4" Type="http://schemas.openxmlformats.org/officeDocument/2006/relationships/image" Target="../media/image45.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9</xdr:col>
      <xdr:colOff>520700</xdr:colOff>
      <xdr:row>3</xdr:row>
      <xdr:rowOff>361950</xdr:rowOff>
    </xdr:from>
    <xdr:to>
      <xdr:col>24</xdr:col>
      <xdr:colOff>557652</xdr:colOff>
      <xdr:row>11</xdr:row>
      <xdr:rowOff>18676</xdr:rowOff>
    </xdr:to>
    <xdr:pic>
      <xdr:nvPicPr>
        <xdr:cNvPr id="2" name="Picture 1">
          <a:extLst>
            <a:ext uri="{FF2B5EF4-FFF2-40B4-BE49-F238E27FC236}">
              <a16:creationId xmlns:a16="http://schemas.microsoft.com/office/drawing/2014/main" id="{6DB91372-5375-48F9-9687-A7B05AB5456C}"/>
            </a:ext>
          </a:extLst>
        </xdr:cNvPr>
        <xdr:cNvPicPr>
          <a:picLocks noChangeAspect="1"/>
        </xdr:cNvPicPr>
      </xdr:nvPicPr>
      <xdr:blipFill>
        <a:blip xmlns:r="http://schemas.openxmlformats.org/officeDocument/2006/relationships" r:embed="rId1"/>
        <a:stretch>
          <a:fillRect/>
        </a:stretch>
      </xdr:blipFill>
      <xdr:spPr>
        <a:xfrm>
          <a:off x="21028025" y="1885950"/>
          <a:ext cx="9180952" cy="3085726"/>
        </a:xfrm>
        <a:prstGeom prst="rect">
          <a:avLst/>
        </a:prstGeom>
      </xdr:spPr>
    </xdr:pic>
    <xdr:clientData/>
  </xdr:twoCellAnchor>
  <xdr:twoCellAnchor editAs="oneCell">
    <xdr:from>
      <xdr:col>14</xdr:col>
      <xdr:colOff>374650</xdr:colOff>
      <xdr:row>8</xdr:row>
      <xdr:rowOff>38100</xdr:rowOff>
    </xdr:from>
    <xdr:to>
      <xdr:col>25</xdr:col>
      <xdr:colOff>164288</xdr:colOff>
      <xdr:row>33</xdr:row>
      <xdr:rowOff>129607</xdr:rowOff>
    </xdr:to>
    <xdr:pic>
      <xdr:nvPicPr>
        <xdr:cNvPr id="3" name="Picture 2">
          <a:extLst>
            <a:ext uri="{FF2B5EF4-FFF2-40B4-BE49-F238E27FC236}">
              <a16:creationId xmlns:a16="http://schemas.microsoft.com/office/drawing/2014/main" id="{98A3FF8F-4C88-4468-9D9D-6D85CAC43D3A}"/>
            </a:ext>
          </a:extLst>
        </xdr:cNvPr>
        <xdr:cNvPicPr>
          <a:picLocks noChangeAspect="1"/>
        </xdr:cNvPicPr>
      </xdr:nvPicPr>
      <xdr:blipFill>
        <a:blip xmlns:r="http://schemas.openxmlformats.org/officeDocument/2006/relationships" r:embed="rId2"/>
        <a:stretch>
          <a:fillRect/>
        </a:stretch>
      </xdr:blipFill>
      <xdr:spPr>
        <a:xfrm>
          <a:off x="23929975" y="4038600"/>
          <a:ext cx="6495238" cy="485400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7</xdr:col>
      <xdr:colOff>324847</xdr:colOff>
      <xdr:row>39</xdr:row>
      <xdr:rowOff>48509</xdr:rowOff>
    </xdr:to>
    <xdr:pic>
      <xdr:nvPicPr>
        <xdr:cNvPr id="2" name="Picture 1">
          <a:extLst>
            <a:ext uri="{FF2B5EF4-FFF2-40B4-BE49-F238E27FC236}">
              <a16:creationId xmlns:a16="http://schemas.microsoft.com/office/drawing/2014/main" id="{7CEF3BB8-7E88-4A3E-8150-10C6BE4E6E4B}"/>
            </a:ext>
          </a:extLst>
        </xdr:cNvPr>
        <xdr:cNvPicPr>
          <a:picLocks noChangeAspect="1"/>
        </xdr:cNvPicPr>
      </xdr:nvPicPr>
      <xdr:blipFill>
        <a:blip xmlns:r="http://schemas.openxmlformats.org/officeDocument/2006/relationships" r:embed="rId1"/>
        <a:stretch>
          <a:fillRect/>
        </a:stretch>
      </xdr:blipFill>
      <xdr:spPr>
        <a:xfrm>
          <a:off x="609600" y="762000"/>
          <a:ext cx="7144747" cy="633500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495300</xdr:colOff>
      <xdr:row>4</xdr:row>
      <xdr:rowOff>66675</xdr:rowOff>
    </xdr:from>
    <xdr:to>
      <xdr:col>10</xdr:col>
      <xdr:colOff>363815</xdr:colOff>
      <xdr:row>31</xdr:row>
      <xdr:rowOff>76919</xdr:rowOff>
    </xdr:to>
    <xdr:pic>
      <xdr:nvPicPr>
        <xdr:cNvPr id="2" name="Picture 1">
          <a:extLst>
            <a:ext uri="{FF2B5EF4-FFF2-40B4-BE49-F238E27FC236}">
              <a16:creationId xmlns:a16="http://schemas.microsoft.com/office/drawing/2014/main" id="{CD1137C9-4611-4845-A943-D402DEE73CB2}"/>
            </a:ext>
          </a:extLst>
        </xdr:cNvPr>
        <xdr:cNvPicPr>
          <a:picLocks noChangeAspect="1"/>
        </xdr:cNvPicPr>
      </xdr:nvPicPr>
      <xdr:blipFill>
        <a:blip xmlns:r="http://schemas.openxmlformats.org/officeDocument/2006/relationships" r:embed="rId1"/>
        <a:stretch>
          <a:fillRect/>
        </a:stretch>
      </xdr:blipFill>
      <xdr:spPr>
        <a:xfrm>
          <a:off x="495300" y="828675"/>
          <a:ext cx="13365440" cy="5153744"/>
        </a:xfrm>
        <a:prstGeom prst="rect">
          <a:avLst/>
        </a:prstGeom>
      </xdr:spPr>
    </xdr:pic>
    <xdr:clientData/>
  </xdr:twoCellAnchor>
  <xdr:twoCellAnchor editAs="oneCell">
    <xdr:from>
      <xdr:col>1</xdr:col>
      <xdr:colOff>0</xdr:colOff>
      <xdr:row>34</xdr:row>
      <xdr:rowOff>0</xdr:rowOff>
    </xdr:from>
    <xdr:to>
      <xdr:col>11</xdr:col>
      <xdr:colOff>449621</xdr:colOff>
      <xdr:row>66</xdr:row>
      <xdr:rowOff>38956</xdr:rowOff>
    </xdr:to>
    <xdr:pic>
      <xdr:nvPicPr>
        <xdr:cNvPr id="3" name="Picture 2">
          <a:extLst>
            <a:ext uri="{FF2B5EF4-FFF2-40B4-BE49-F238E27FC236}">
              <a16:creationId xmlns:a16="http://schemas.microsoft.com/office/drawing/2014/main" id="{EF6D2D26-0B76-29DC-8CB3-3E87B010764D}"/>
            </a:ext>
          </a:extLst>
        </xdr:cNvPr>
        <xdr:cNvPicPr>
          <a:picLocks noChangeAspect="1"/>
        </xdr:cNvPicPr>
      </xdr:nvPicPr>
      <xdr:blipFill>
        <a:blip xmlns:r="http://schemas.openxmlformats.org/officeDocument/2006/relationships" r:embed="rId2"/>
        <a:stretch>
          <a:fillRect/>
        </a:stretch>
      </xdr:blipFill>
      <xdr:spPr>
        <a:xfrm>
          <a:off x="609600" y="6477000"/>
          <a:ext cx="13946546" cy="61349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xdr:col>
      <xdr:colOff>448631</xdr:colOff>
      <xdr:row>23</xdr:row>
      <xdr:rowOff>48110</xdr:rowOff>
    </xdr:to>
    <xdr:pic>
      <xdr:nvPicPr>
        <xdr:cNvPr id="2" name="Picture 1">
          <a:extLst>
            <a:ext uri="{FF2B5EF4-FFF2-40B4-BE49-F238E27FC236}">
              <a16:creationId xmlns:a16="http://schemas.microsoft.com/office/drawing/2014/main" id="{3C5C01B3-752F-CA8E-CB5A-1168AC1DF7AA}"/>
            </a:ext>
          </a:extLst>
        </xdr:cNvPr>
        <xdr:cNvPicPr>
          <a:picLocks noChangeAspect="1"/>
        </xdr:cNvPicPr>
      </xdr:nvPicPr>
      <xdr:blipFill>
        <a:blip xmlns:r="http://schemas.openxmlformats.org/officeDocument/2006/relationships" r:embed="rId1"/>
        <a:stretch>
          <a:fillRect/>
        </a:stretch>
      </xdr:blipFill>
      <xdr:spPr>
        <a:xfrm>
          <a:off x="609600" y="571500"/>
          <a:ext cx="6849431" cy="347711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466725</xdr:colOff>
      <xdr:row>10</xdr:row>
      <xdr:rowOff>123825</xdr:rowOff>
    </xdr:from>
    <xdr:to>
      <xdr:col>1</xdr:col>
      <xdr:colOff>6573187</xdr:colOff>
      <xdr:row>22</xdr:row>
      <xdr:rowOff>9828</xdr:rowOff>
    </xdr:to>
    <xdr:pic>
      <xdr:nvPicPr>
        <xdr:cNvPr id="2" name="Picture 1">
          <a:extLst>
            <a:ext uri="{FF2B5EF4-FFF2-40B4-BE49-F238E27FC236}">
              <a16:creationId xmlns:a16="http://schemas.microsoft.com/office/drawing/2014/main" id="{085DA4D6-1823-4A7A-AAA1-BE4E5D1CB724}"/>
            </a:ext>
          </a:extLst>
        </xdr:cNvPr>
        <xdr:cNvPicPr>
          <a:picLocks noChangeAspect="1"/>
        </xdr:cNvPicPr>
      </xdr:nvPicPr>
      <xdr:blipFill>
        <a:blip xmlns:r="http://schemas.openxmlformats.org/officeDocument/2006/relationships" r:embed="rId1"/>
        <a:stretch>
          <a:fillRect/>
        </a:stretch>
      </xdr:blipFill>
      <xdr:spPr>
        <a:xfrm>
          <a:off x="466725" y="1647825"/>
          <a:ext cx="6716062" cy="2172003"/>
        </a:xfrm>
        <a:prstGeom prst="rect">
          <a:avLst/>
        </a:prstGeom>
      </xdr:spPr>
    </xdr:pic>
    <xdr:clientData/>
  </xdr:twoCellAnchor>
  <xdr:twoCellAnchor editAs="oneCell">
    <xdr:from>
      <xdr:col>2</xdr:col>
      <xdr:colOff>428625</xdr:colOff>
      <xdr:row>8</xdr:row>
      <xdr:rowOff>57150</xdr:rowOff>
    </xdr:from>
    <xdr:to>
      <xdr:col>14</xdr:col>
      <xdr:colOff>248969</xdr:colOff>
      <xdr:row>42</xdr:row>
      <xdr:rowOff>974</xdr:rowOff>
    </xdr:to>
    <xdr:pic>
      <xdr:nvPicPr>
        <xdr:cNvPr id="3" name="Picture 2">
          <a:extLst>
            <a:ext uri="{FF2B5EF4-FFF2-40B4-BE49-F238E27FC236}">
              <a16:creationId xmlns:a16="http://schemas.microsoft.com/office/drawing/2014/main" id="{0400E052-1965-4060-B77B-BFA54BEB63F8}"/>
            </a:ext>
          </a:extLst>
        </xdr:cNvPr>
        <xdr:cNvPicPr>
          <a:picLocks noChangeAspect="1"/>
        </xdr:cNvPicPr>
      </xdr:nvPicPr>
      <xdr:blipFill>
        <a:blip xmlns:r="http://schemas.openxmlformats.org/officeDocument/2006/relationships" r:embed="rId2"/>
        <a:stretch>
          <a:fillRect/>
        </a:stretch>
      </xdr:blipFill>
      <xdr:spPr>
        <a:xfrm>
          <a:off x="8058150" y="2533650"/>
          <a:ext cx="9450119" cy="698279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xdr:col>
      <xdr:colOff>3445861</xdr:colOff>
      <xdr:row>22</xdr:row>
      <xdr:rowOff>86136</xdr:rowOff>
    </xdr:to>
    <xdr:pic>
      <xdr:nvPicPr>
        <xdr:cNvPr id="2" name="Picture 1">
          <a:extLst>
            <a:ext uri="{FF2B5EF4-FFF2-40B4-BE49-F238E27FC236}">
              <a16:creationId xmlns:a16="http://schemas.microsoft.com/office/drawing/2014/main" id="{9E335870-7353-4C12-BAC1-CD779698FFB2}"/>
            </a:ext>
          </a:extLst>
        </xdr:cNvPr>
        <xdr:cNvPicPr>
          <a:picLocks noChangeAspect="1"/>
        </xdr:cNvPicPr>
      </xdr:nvPicPr>
      <xdr:blipFill>
        <a:blip xmlns:r="http://schemas.openxmlformats.org/officeDocument/2006/relationships" r:embed="rId1"/>
        <a:stretch>
          <a:fillRect/>
        </a:stretch>
      </xdr:blipFill>
      <xdr:spPr>
        <a:xfrm>
          <a:off x="609600" y="952500"/>
          <a:ext cx="7068536" cy="2943636"/>
        </a:xfrm>
        <a:prstGeom prst="rect">
          <a:avLst/>
        </a:prstGeom>
      </xdr:spPr>
    </xdr:pic>
    <xdr:clientData/>
  </xdr:twoCellAnchor>
  <xdr:twoCellAnchor editAs="oneCell">
    <xdr:from>
      <xdr:col>1</xdr:col>
      <xdr:colOff>0</xdr:colOff>
      <xdr:row>25</xdr:row>
      <xdr:rowOff>0</xdr:rowOff>
    </xdr:from>
    <xdr:to>
      <xdr:col>3</xdr:col>
      <xdr:colOff>3398219</xdr:colOff>
      <xdr:row>39</xdr:row>
      <xdr:rowOff>57530</xdr:rowOff>
    </xdr:to>
    <xdr:pic>
      <xdr:nvPicPr>
        <xdr:cNvPr id="3" name="Picture 2">
          <a:extLst>
            <a:ext uri="{FF2B5EF4-FFF2-40B4-BE49-F238E27FC236}">
              <a16:creationId xmlns:a16="http://schemas.microsoft.com/office/drawing/2014/main" id="{BE4CD322-60F9-48AF-88F0-77268BC7C5AD}"/>
            </a:ext>
          </a:extLst>
        </xdr:cNvPr>
        <xdr:cNvPicPr>
          <a:picLocks noChangeAspect="1"/>
        </xdr:cNvPicPr>
      </xdr:nvPicPr>
      <xdr:blipFill>
        <a:blip xmlns:r="http://schemas.openxmlformats.org/officeDocument/2006/relationships" r:embed="rId2"/>
        <a:stretch>
          <a:fillRect/>
        </a:stretch>
      </xdr:blipFill>
      <xdr:spPr>
        <a:xfrm>
          <a:off x="609600" y="4381500"/>
          <a:ext cx="6944694" cy="2724530"/>
        </a:xfrm>
        <a:prstGeom prst="rect">
          <a:avLst/>
        </a:prstGeom>
      </xdr:spPr>
    </xdr:pic>
    <xdr:clientData/>
  </xdr:twoCellAnchor>
  <xdr:twoCellAnchor editAs="oneCell">
    <xdr:from>
      <xdr:col>4</xdr:col>
      <xdr:colOff>1800225</xdr:colOff>
      <xdr:row>6</xdr:row>
      <xdr:rowOff>104775</xdr:rowOff>
    </xdr:from>
    <xdr:to>
      <xdr:col>12</xdr:col>
      <xdr:colOff>562876</xdr:colOff>
      <xdr:row>26</xdr:row>
      <xdr:rowOff>29096</xdr:rowOff>
    </xdr:to>
    <xdr:pic>
      <xdr:nvPicPr>
        <xdr:cNvPr id="4" name="Picture 3">
          <a:extLst>
            <a:ext uri="{FF2B5EF4-FFF2-40B4-BE49-F238E27FC236}">
              <a16:creationId xmlns:a16="http://schemas.microsoft.com/office/drawing/2014/main" id="{49BEC352-B7E7-46AB-9453-AD08F7A2BE5C}"/>
            </a:ext>
          </a:extLst>
        </xdr:cNvPr>
        <xdr:cNvPicPr>
          <a:picLocks noChangeAspect="1"/>
        </xdr:cNvPicPr>
      </xdr:nvPicPr>
      <xdr:blipFill>
        <a:blip xmlns:r="http://schemas.openxmlformats.org/officeDocument/2006/relationships" r:embed="rId3"/>
        <a:stretch>
          <a:fillRect/>
        </a:stretch>
      </xdr:blipFill>
      <xdr:spPr>
        <a:xfrm>
          <a:off x="8020050" y="1247775"/>
          <a:ext cx="6458851" cy="3734321"/>
        </a:xfrm>
        <a:prstGeom prst="rect">
          <a:avLst/>
        </a:prstGeom>
      </xdr:spPr>
    </xdr:pic>
    <xdr:clientData/>
  </xdr:twoCellAnchor>
  <xdr:twoCellAnchor editAs="oneCell">
    <xdr:from>
      <xdr:col>14</xdr:col>
      <xdr:colOff>266700</xdr:colOff>
      <xdr:row>7</xdr:row>
      <xdr:rowOff>28575</xdr:rowOff>
    </xdr:from>
    <xdr:to>
      <xdr:col>24</xdr:col>
      <xdr:colOff>477130</xdr:colOff>
      <xdr:row>25</xdr:row>
      <xdr:rowOff>48106</xdr:rowOff>
    </xdr:to>
    <xdr:pic>
      <xdr:nvPicPr>
        <xdr:cNvPr id="5" name="Picture 4">
          <a:extLst>
            <a:ext uri="{FF2B5EF4-FFF2-40B4-BE49-F238E27FC236}">
              <a16:creationId xmlns:a16="http://schemas.microsoft.com/office/drawing/2014/main" id="{CF221F8E-36D0-4457-ACE7-44395D4E8F07}"/>
            </a:ext>
          </a:extLst>
        </xdr:cNvPr>
        <xdr:cNvPicPr>
          <a:picLocks noChangeAspect="1"/>
        </xdr:cNvPicPr>
      </xdr:nvPicPr>
      <xdr:blipFill>
        <a:blip xmlns:r="http://schemas.openxmlformats.org/officeDocument/2006/relationships" r:embed="rId4"/>
        <a:stretch>
          <a:fillRect/>
        </a:stretch>
      </xdr:blipFill>
      <xdr:spPr>
        <a:xfrm>
          <a:off x="14706600" y="1362075"/>
          <a:ext cx="6306430" cy="3448531"/>
        </a:xfrm>
        <a:prstGeom prst="rect">
          <a:avLst/>
        </a:prstGeom>
      </xdr:spPr>
    </xdr:pic>
    <xdr:clientData/>
  </xdr:twoCellAnchor>
  <xdr:twoCellAnchor editAs="oneCell">
    <xdr:from>
      <xdr:col>4</xdr:col>
      <xdr:colOff>1847850</xdr:colOff>
      <xdr:row>26</xdr:row>
      <xdr:rowOff>47625</xdr:rowOff>
    </xdr:from>
    <xdr:to>
      <xdr:col>13</xdr:col>
      <xdr:colOff>48533</xdr:colOff>
      <xdr:row>44</xdr:row>
      <xdr:rowOff>471</xdr:rowOff>
    </xdr:to>
    <xdr:pic>
      <xdr:nvPicPr>
        <xdr:cNvPr id="6" name="Picture 5">
          <a:extLst>
            <a:ext uri="{FF2B5EF4-FFF2-40B4-BE49-F238E27FC236}">
              <a16:creationId xmlns:a16="http://schemas.microsoft.com/office/drawing/2014/main" id="{330D1489-A58D-4C3E-A7B3-1BB67D048467}"/>
            </a:ext>
          </a:extLst>
        </xdr:cNvPr>
        <xdr:cNvPicPr>
          <a:picLocks noChangeAspect="1"/>
        </xdr:cNvPicPr>
      </xdr:nvPicPr>
      <xdr:blipFill>
        <a:blip xmlns:r="http://schemas.openxmlformats.org/officeDocument/2006/relationships" r:embed="rId5"/>
        <a:stretch>
          <a:fillRect/>
        </a:stretch>
      </xdr:blipFill>
      <xdr:spPr>
        <a:xfrm>
          <a:off x="8067675" y="5000625"/>
          <a:ext cx="6506483" cy="3372321"/>
        </a:xfrm>
        <a:prstGeom prst="rect">
          <a:avLst/>
        </a:prstGeom>
      </xdr:spPr>
    </xdr:pic>
    <xdr:clientData/>
  </xdr:twoCellAnchor>
  <xdr:twoCellAnchor editAs="oneCell">
    <xdr:from>
      <xdr:col>14</xdr:col>
      <xdr:colOff>285750</xdr:colOff>
      <xdr:row>26</xdr:row>
      <xdr:rowOff>47625</xdr:rowOff>
    </xdr:from>
    <xdr:to>
      <xdr:col>25</xdr:col>
      <xdr:colOff>239054</xdr:colOff>
      <xdr:row>44</xdr:row>
      <xdr:rowOff>95735</xdr:rowOff>
    </xdr:to>
    <xdr:pic>
      <xdr:nvPicPr>
        <xdr:cNvPr id="7" name="Picture 6">
          <a:extLst>
            <a:ext uri="{FF2B5EF4-FFF2-40B4-BE49-F238E27FC236}">
              <a16:creationId xmlns:a16="http://schemas.microsoft.com/office/drawing/2014/main" id="{72164B9F-5A23-44E4-96C7-061C1E56485F}"/>
            </a:ext>
          </a:extLst>
        </xdr:cNvPr>
        <xdr:cNvPicPr>
          <a:picLocks noChangeAspect="1"/>
        </xdr:cNvPicPr>
      </xdr:nvPicPr>
      <xdr:blipFill>
        <a:blip xmlns:r="http://schemas.openxmlformats.org/officeDocument/2006/relationships" r:embed="rId6"/>
        <a:stretch>
          <a:fillRect/>
        </a:stretch>
      </xdr:blipFill>
      <xdr:spPr>
        <a:xfrm>
          <a:off x="14725650" y="5000625"/>
          <a:ext cx="6658904" cy="3477110"/>
        </a:xfrm>
        <a:prstGeom prst="rect">
          <a:avLst/>
        </a:prstGeom>
      </xdr:spPr>
    </xdr:pic>
    <xdr:clientData/>
  </xdr:twoCellAnchor>
  <xdr:twoCellAnchor editAs="oneCell">
    <xdr:from>
      <xdr:col>5</xdr:col>
      <xdr:colOff>38100</xdr:colOff>
      <xdr:row>44</xdr:row>
      <xdr:rowOff>180976</xdr:rowOff>
    </xdr:from>
    <xdr:to>
      <xdr:col>21</xdr:col>
      <xdr:colOff>535321</xdr:colOff>
      <xdr:row>69</xdr:row>
      <xdr:rowOff>31766</xdr:rowOff>
    </xdr:to>
    <xdr:pic>
      <xdr:nvPicPr>
        <xdr:cNvPr id="8" name="Picture 7">
          <a:extLst>
            <a:ext uri="{FF2B5EF4-FFF2-40B4-BE49-F238E27FC236}">
              <a16:creationId xmlns:a16="http://schemas.microsoft.com/office/drawing/2014/main" id="{4F83CC02-4910-4D33-2FF5-7F09EC450591}"/>
            </a:ext>
          </a:extLst>
        </xdr:cNvPr>
        <xdr:cNvPicPr>
          <a:picLocks noChangeAspect="1"/>
        </xdr:cNvPicPr>
      </xdr:nvPicPr>
      <xdr:blipFill>
        <a:blip xmlns:r="http://schemas.openxmlformats.org/officeDocument/2006/relationships" r:embed="rId7"/>
        <a:stretch>
          <a:fillRect/>
        </a:stretch>
      </xdr:blipFill>
      <xdr:spPr>
        <a:xfrm>
          <a:off x="8991600" y="8562976"/>
          <a:ext cx="10946146" cy="4613290"/>
        </a:xfrm>
        <a:prstGeom prst="rect">
          <a:avLst/>
        </a:prstGeom>
      </xdr:spPr>
    </xdr:pic>
    <xdr:clientData/>
  </xdr:twoCellAnchor>
  <xdr:twoCellAnchor editAs="oneCell">
    <xdr:from>
      <xdr:col>5</xdr:col>
      <xdr:colOff>0</xdr:colOff>
      <xdr:row>72</xdr:row>
      <xdr:rowOff>0</xdr:rowOff>
    </xdr:from>
    <xdr:to>
      <xdr:col>16</xdr:col>
      <xdr:colOff>343981</xdr:colOff>
      <xdr:row>88</xdr:row>
      <xdr:rowOff>67110</xdr:rowOff>
    </xdr:to>
    <xdr:pic>
      <xdr:nvPicPr>
        <xdr:cNvPr id="9" name="Picture 8">
          <a:extLst>
            <a:ext uri="{FF2B5EF4-FFF2-40B4-BE49-F238E27FC236}">
              <a16:creationId xmlns:a16="http://schemas.microsoft.com/office/drawing/2014/main" id="{464B1516-2452-EFCB-E4EE-3B171DFCF273}"/>
            </a:ext>
          </a:extLst>
        </xdr:cNvPr>
        <xdr:cNvPicPr>
          <a:picLocks noChangeAspect="1"/>
        </xdr:cNvPicPr>
      </xdr:nvPicPr>
      <xdr:blipFill>
        <a:blip xmlns:r="http://schemas.openxmlformats.org/officeDocument/2006/relationships" r:embed="rId8"/>
        <a:stretch>
          <a:fillRect/>
        </a:stretch>
      </xdr:blipFill>
      <xdr:spPr>
        <a:xfrm>
          <a:off x="8953500" y="13525500"/>
          <a:ext cx="7744906" cy="3115110"/>
        </a:xfrm>
        <a:prstGeom prst="rect">
          <a:avLst/>
        </a:prstGeom>
      </xdr:spPr>
    </xdr:pic>
    <xdr:clientData/>
  </xdr:twoCellAnchor>
  <xdr:twoCellAnchor editAs="oneCell">
    <xdr:from>
      <xdr:col>1</xdr:col>
      <xdr:colOff>1</xdr:colOff>
      <xdr:row>45</xdr:row>
      <xdr:rowOff>1</xdr:rowOff>
    </xdr:from>
    <xdr:to>
      <xdr:col>4</xdr:col>
      <xdr:colOff>831727</xdr:colOff>
      <xdr:row>64</xdr:row>
      <xdr:rowOff>158751</xdr:rowOff>
    </xdr:to>
    <xdr:pic>
      <xdr:nvPicPr>
        <xdr:cNvPr id="10" name="Picture 9">
          <a:extLst>
            <a:ext uri="{FF2B5EF4-FFF2-40B4-BE49-F238E27FC236}">
              <a16:creationId xmlns:a16="http://schemas.microsoft.com/office/drawing/2014/main" id="{54A4AE74-0B66-1AC2-D3BC-92F7CBE58FED}"/>
            </a:ext>
          </a:extLst>
        </xdr:cNvPr>
        <xdr:cNvPicPr>
          <a:picLocks noChangeAspect="1"/>
        </xdr:cNvPicPr>
      </xdr:nvPicPr>
      <xdr:blipFill>
        <a:blip xmlns:r="http://schemas.openxmlformats.org/officeDocument/2006/relationships" r:embed="rId9"/>
        <a:stretch>
          <a:fillRect/>
        </a:stretch>
      </xdr:blipFill>
      <xdr:spPr>
        <a:xfrm>
          <a:off x="609601" y="8286751"/>
          <a:ext cx="8254876" cy="3657600"/>
        </a:xfrm>
        <a:prstGeom prst="rect">
          <a:avLst/>
        </a:prstGeom>
      </xdr:spPr>
    </xdr:pic>
    <xdr:clientData/>
  </xdr:twoCellAnchor>
  <xdr:twoCellAnchor editAs="oneCell">
    <xdr:from>
      <xdr:col>1</xdr:col>
      <xdr:colOff>317501</xdr:colOff>
      <xdr:row>72</xdr:row>
      <xdr:rowOff>82551</xdr:rowOff>
    </xdr:from>
    <xdr:to>
      <xdr:col>3</xdr:col>
      <xdr:colOff>3244851</xdr:colOff>
      <xdr:row>91</xdr:row>
      <xdr:rowOff>96985</xdr:rowOff>
    </xdr:to>
    <xdr:pic>
      <xdr:nvPicPr>
        <xdr:cNvPr id="12" name="Picture 11">
          <a:extLst>
            <a:ext uri="{FF2B5EF4-FFF2-40B4-BE49-F238E27FC236}">
              <a16:creationId xmlns:a16="http://schemas.microsoft.com/office/drawing/2014/main" id="{8E4B931E-1F89-1D10-440C-DFDD6908CC57}"/>
            </a:ext>
          </a:extLst>
        </xdr:cNvPr>
        <xdr:cNvPicPr>
          <a:picLocks noChangeAspect="1"/>
        </xdr:cNvPicPr>
      </xdr:nvPicPr>
      <xdr:blipFill>
        <a:blip xmlns:r="http://schemas.openxmlformats.org/officeDocument/2006/relationships" r:embed="rId10"/>
        <a:stretch>
          <a:fillRect/>
        </a:stretch>
      </xdr:blipFill>
      <xdr:spPr>
        <a:xfrm>
          <a:off x="927101" y="13341351"/>
          <a:ext cx="6737350" cy="351328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76200</xdr:colOff>
      <xdr:row>6</xdr:row>
      <xdr:rowOff>85725</xdr:rowOff>
    </xdr:from>
    <xdr:to>
      <xdr:col>16</xdr:col>
      <xdr:colOff>345022</xdr:colOff>
      <xdr:row>33</xdr:row>
      <xdr:rowOff>95969</xdr:rowOff>
    </xdr:to>
    <xdr:pic>
      <xdr:nvPicPr>
        <xdr:cNvPr id="2" name="Picture 1">
          <a:extLst>
            <a:ext uri="{FF2B5EF4-FFF2-40B4-BE49-F238E27FC236}">
              <a16:creationId xmlns:a16="http://schemas.microsoft.com/office/drawing/2014/main" id="{D647CDA5-1942-4A16-87F9-C765A4D44BA7}"/>
            </a:ext>
          </a:extLst>
        </xdr:cNvPr>
        <xdr:cNvPicPr>
          <a:picLocks noChangeAspect="1"/>
        </xdr:cNvPicPr>
      </xdr:nvPicPr>
      <xdr:blipFill>
        <a:blip xmlns:r="http://schemas.openxmlformats.org/officeDocument/2006/relationships" r:embed="rId1"/>
        <a:stretch>
          <a:fillRect/>
        </a:stretch>
      </xdr:blipFill>
      <xdr:spPr>
        <a:xfrm>
          <a:off x="685800" y="1419225"/>
          <a:ext cx="15204022" cy="515374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228600</xdr:colOff>
      <xdr:row>6</xdr:row>
      <xdr:rowOff>133350</xdr:rowOff>
    </xdr:from>
    <xdr:to>
      <xdr:col>9</xdr:col>
      <xdr:colOff>553577</xdr:colOff>
      <xdr:row>47</xdr:row>
      <xdr:rowOff>1070</xdr:rowOff>
    </xdr:to>
    <xdr:pic>
      <xdr:nvPicPr>
        <xdr:cNvPr id="2" name="Picture 1">
          <a:extLst>
            <a:ext uri="{FF2B5EF4-FFF2-40B4-BE49-F238E27FC236}">
              <a16:creationId xmlns:a16="http://schemas.microsoft.com/office/drawing/2014/main" id="{3CC819C9-FD42-128F-DED5-9026702D5F66}"/>
            </a:ext>
          </a:extLst>
        </xdr:cNvPr>
        <xdr:cNvPicPr>
          <a:picLocks noChangeAspect="1"/>
        </xdr:cNvPicPr>
      </xdr:nvPicPr>
      <xdr:blipFill>
        <a:blip xmlns:r="http://schemas.openxmlformats.org/officeDocument/2006/relationships" r:embed="rId1"/>
        <a:stretch>
          <a:fillRect/>
        </a:stretch>
      </xdr:blipFill>
      <xdr:spPr>
        <a:xfrm>
          <a:off x="228600" y="895350"/>
          <a:ext cx="8078327" cy="766869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xdr:colOff>
      <xdr:row>5</xdr:row>
      <xdr:rowOff>66675</xdr:rowOff>
    </xdr:from>
    <xdr:to>
      <xdr:col>7</xdr:col>
      <xdr:colOff>563193</xdr:colOff>
      <xdr:row>35</xdr:row>
      <xdr:rowOff>76999</xdr:rowOff>
    </xdr:to>
    <xdr:pic>
      <xdr:nvPicPr>
        <xdr:cNvPr id="2" name="Picture 1">
          <a:extLst>
            <a:ext uri="{FF2B5EF4-FFF2-40B4-BE49-F238E27FC236}">
              <a16:creationId xmlns:a16="http://schemas.microsoft.com/office/drawing/2014/main" id="{3DE5B594-3806-476A-9453-A698116AD785}"/>
            </a:ext>
          </a:extLst>
        </xdr:cNvPr>
        <xdr:cNvPicPr>
          <a:picLocks noChangeAspect="1"/>
        </xdr:cNvPicPr>
      </xdr:nvPicPr>
      <xdr:blipFill>
        <a:blip xmlns:r="http://schemas.openxmlformats.org/officeDocument/2006/relationships" r:embed="rId1"/>
        <a:stretch>
          <a:fillRect/>
        </a:stretch>
      </xdr:blipFill>
      <xdr:spPr>
        <a:xfrm>
          <a:off x="619125" y="1019175"/>
          <a:ext cx="8726118" cy="572532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3</xdr:col>
      <xdr:colOff>3489325</xdr:colOff>
      <xdr:row>7</xdr:row>
      <xdr:rowOff>161925</xdr:rowOff>
    </xdr:from>
    <xdr:to>
      <xdr:col>11</xdr:col>
      <xdr:colOff>287851</xdr:colOff>
      <xdr:row>37</xdr:row>
      <xdr:rowOff>123115</xdr:rowOff>
    </xdr:to>
    <xdr:pic>
      <xdr:nvPicPr>
        <xdr:cNvPr id="2" name="Picture 1">
          <a:extLst>
            <a:ext uri="{FF2B5EF4-FFF2-40B4-BE49-F238E27FC236}">
              <a16:creationId xmlns:a16="http://schemas.microsoft.com/office/drawing/2014/main" id="{56B4912A-B748-4764-8311-75C9EAF81497}"/>
            </a:ext>
          </a:extLst>
        </xdr:cNvPr>
        <xdr:cNvPicPr>
          <a:picLocks noChangeAspect="1"/>
        </xdr:cNvPicPr>
      </xdr:nvPicPr>
      <xdr:blipFill>
        <a:blip xmlns:r="http://schemas.openxmlformats.org/officeDocument/2006/relationships" r:embed="rId1"/>
        <a:stretch>
          <a:fillRect/>
        </a:stretch>
      </xdr:blipFill>
      <xdr:spPr>
        <a:xfrm>
          <a:off x="8969375" y="1450975"/>
          <a:ext cx="8977826" cy="5485690"/>
        </a:xfrm>
        <a:prstGeom prst="rect">
          <a:avLst/>
        </a:prstGeom>
      </xdr:spPr>
    </xdr:pic>
    <xdr:clientData/>
  </xdr:twoCellAnchor>
  <xdr:twoCellAnchor editAs="oneCell">
    <xdr:from>
      <xdr:col>1</xdr:col>
      <xdr:colOff>279401</xdr:colOff>
      <xdr:row>7</xdr:row>
      <xdr:rowOff>19051</xdr:rowOff>
    </xdr:from>
    <xdr:to>
      <xdr:col>3</xdr:col>
      <xdr:colOff>3013076</xdr:colOff>
      <xdr:row>28</xdr:row>
      <xdr:rowOff>171241</xdr:rowOff>
    </xdr:to>
    <xdr:pic>
      <xdr:nvPicPr>
        <xdr:cNvPr id="3" name="Picture 2">
          <a:extLst>
            <a:ext uri="{FF2B5EF4-FFF2-40B4-BE49-F238E27FC236}">
              <a16:creationId xmlns:a16="http://schemas.microsoft.com/office/drawing/2014/main" id="{3CBB080D-8378-449C-A645-63A50036ED3F}"/>
            </a:ext>
          </a:extLst>
        </xdr:cNvPr>
        <xdr:cNvPicPr>
          <a:picLocks noChangeAspect="1"/>
        </xdr:cNvPicPr>
      </xdr:nvPicPr>
      <xdr:blipFill>
        <a:blip xmlns:r="http://schemas.openxmlformats.org/officeDocument/2006/relationships" r:embed="rId2"/>
        <a:stretch>
          <a:fillRect/>
        </a:stretch>
      </xdr:blipFill>
      <xdr:spPr>
        <a:xfrm>
          <a:off x="889001" y="1308101"/>
          <a:ext cx="7604125" cy="4019340"/>
        </a:xfrm>
        <a:prstGeom prst="rect">
          <a:avLst/>
        </a:prstGeom>
      </xdr:spPr>
    </xdr:pic>
    <xdr:clientData/>
  </xdr:twoCellAnchor>
  <xdr:twoCellAnchor editAs="oneCell">
    <xdr:from>
      <xdr:col>0</xdr:col>
      <xdr:colOff>98425</xdr:colOff>
      <xdr:row>28</xdr:row>
      <xdr:rowOff>98425</xdr:rowOff>
    </xdr:from>
    <xdr:to>
      <xdr:col>3</xdr:col>
      <xdr:colOff>3128536</xdr:colOff>
      <xdr:row>47</xdr:row>
      <xdr:rowOff>156088</xdr:rowOff>
    </xdr:to>
    <xdr:pic>
      <xdr:nvPicPr>
        <xdr:cNvPr id="4" name="Picture 3">
          <a:extLst>
            <a:ext uri="{FF2B5EF4-FFF2-40B4-BE49-F238E27FC236}">
              <a16:creationId xmlns:a16="http://schemas.microsoft.com/office/drawing/2014/main" id="{7DD3C652-66C0-ADF6-4965-550694B3C3D9}"/>
            </a:ext>
          </a:extLst>
        </xdr:cNvPr>
        <xdr:cNvPicPr>
          <a:picLocks noChangeAspect="1"/>
        </xdr:cNvPicPr>
      </xdr:nvPicPr>
      <xdr:blipFill>
        <a:blip xmlns:r="http://schemas.openxmlformats.org/officeDocument/2006/relationships" r:embed="rId3"/>
        <a:stretch>
          <a:fillRect/>
        </a:stretch>
      </xdr:blipFill>
      <xdr:spPr>
        <a:xfrm>
          <a:off x="98425" y="5254625"/>
          <a:ext cx="8510161" cy="3556513"/>
        </a:xfrm>
        <a:prstGeom prst="rect">
          <a:avLst/>
        </a:prstGeom>
      </xdr:spPr>
    </xdr:pic>
    <xdr:clientData/>
  </xdr:twoCellAnchor>
  <xdr:twoCellAnchor editAs="oneCell">
    <xdr:from>
      <xdr:col>3</xdr:col>
      <xdr:colOff>3587750</xdr:colOff>
      <xdr:row>35</xdr:row>
      <xdr:rowOff>139700</xdr:rowOff>
    </xdr:from>
    <xdr:to>
      <xdr:col>5</xdr:col>
      <xdr:colOff>592507</xdr:colOff>
      <xdr:row>48</xdr:row>
      <xdr:rowOff>63296</xdr:rowOff>
    </xdr:to>
    <xdr:pic>
      <xdr:nvPicPr>
        <xdr:cNvPr id="5" name="Picture 4">
          <a:extLst>
            <a:ext uri="{FF2B5EF4-FFF2-40B4-BE49-F238E27FC236}">
              <a16:creationId xmlns:a16="http://schemas.microsoft.com/office/drawing/2014/main" id="{3910024E-80B8-8FDB-6EDA-E5B0B61EA94E}"/>
            </a:ext>
          </a:extLst>
        </xdr:cNvPr>
        <xdr:cNvPicPr>
          <a:picLocks noChangeAspect="1"/>
        </xdr:cNvPicPr>
      </xdr:nvPicPr>
      <xdr:blipFill>
        <a:blip xmlns:r="http://schemas.openxmlformats.org/officeDocument/2006/relationships" r:embed="rId4"/>
        <a:stretch>
          <a:fillRect/>
        </a:stretch>
      </xdr:blipFill>
      <xdr:spPr>
        <a:xfrm>
          <a:off x="9067800" y="6584950"/>
          <a:ext cx="5526457" cy="231754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400050</xdr:colOff>
      <xdr:row>9</xdr:row>
      <xdr:rowOff>38100</xdr:rowOff>
    </xdr:from>
    <xdr:to>
      <xdr:col>3</xdr:col>
      <xdr:colOff>105932</xdr:colOff>
      <xdr:row>45</xdr:row>
      <xdr:rowOff>58110</xdr:rowOff>
    </xdr:to>
    <xdr:pic>
      <xdr:nvPicPr>
        <xdr:cNvPr id="2" name="Picture 1">
          <a:extLst>
            <a:ext uri="{FF2B5EF4-FFF2-40B4-BE49-F238E27FC236}">
              <a16:creationId xmlns:a16="http://schemas.microsoft.com/office/drawing/2014/main" id="{EFB7FBE9-9374-4D2B-9AB4-C6C9FB74F153}"/>
            </a:ext>
          </a:extLst>
        </xdr:cNvPr>
        <xdr:cNvPicPr>
          <a:picLocks noChangeAspect="1"/>
        </xdr:cNvPicPr>
      </xdr:nvPicPr>
      <xdr:blipFill>
        <a:blip xmlns:r="http://schemas.openxmlformats.org/officeDocument/2006/relationships" r:embed="rId1"/>
        <a:stretch>
          <a:fillRect/>
        </a:stretch>
      </xdr:blipFill>
      <xdr:spPr>
        <a:xfrm>
          <a:off x="400050" y="1562100"/>
          <a:ext cx="8287907" cy="68780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520700</xdr:colOff>
      <xdr:row>9</xdr:row>
      <xdr:rowOff>361950</xdr:rowOff>
    </xdr:from>
    <xdr:to>
      <xdr:col>26</xdr:col>
      <xdr:colOff>557652</xdr:colOff>
      <xdr:row>15</xdr:row>
      <xdr:rowOff>37726</xdr:rowOff>
    </xdr:to>
    <xdr:pic>
      <xdr:nvPicPr>
        <xdr:cNvPr id="2" name="Picture 1">
          <a:extLst>
            <a:ext uri="{FF2B5EF4-FFF2-40B4-BE49-F238E27FC236}">
              <a16:creationId xmlns:a16="http://schemas.microsoft.com/office/drawing/2014/main" id="{363E4EC7-9E7B-4597-A35D-68C911EE0AD4}"/>
            </a:ext>
          </a:extLst>
        </xdr:cNvPr>
        <xdr:cNvPicPr>
          <a:picLocks noChangeAspect="1"/>
        </xdr:cNvPicPr>
      </xdr:nvPicPr>
      <xdr:blipFill>
        <a:blip xmlns:r="http://schemas.openxmlformats.org/officeDocument/2006/relationships" r:embed="rId1"/>
        <a:stretch>
          <a:fillRect/>
        </a:stretch>
      </xdr:blipFill>
      <xdr:spPr>
        <a:xfrm>
          <a:off x="13030200" y="6254750"/>
          <a:ext cx="9180952" cy="2990476"/>
        </a:xfrm>
        <a:prstGeom prst="rect">
          <a:avLst/>
        </a:prstGeom>
      </xdr:spPr>
    </xdr:pic>
    <xdr:clientData/>
  </xdr:twoCellAnchor>
  <xdr:twoCellAnchor editAs="oneCell">
    <xdr:from>
      <xdr:col>16</xdr:col>
      <xdr:colOff>374650</xdr:colOff>
      <xdr:row>20</xdr:row>
      <xdr:rowOff>38100</xdr:rowOff>
    </xdr:from>
    <xdr:to>
      <xdr:col>27</xdr:col>
      <xdr:colOff>164288</xdr:colOff>
      <xdr:row>47</xdr:row>
      <xdr:rowOff>91507</xdr:rowOff>
    </xdr:to>
    <xdr:pic>
      <xdr:nvPicPr>
        <xdr:cNvPr id="3" name="Picture 2">
          <a:extLst>
            <a:ext uri="{FF2B5EF4-FFF2-40B4-BE49-F238E27FC236}">
              <a16:creationId xmlns:a16="http://schemas.microsoft.com/office/drawing/2014/main" id="{DE1600DD-F087-4430-9620-56C2A880E8CA}"/>
            </a:ext>
          </a:extLst>
        </xdr:cNvPr>
        <xdr:cNvPicPr>
          <a:picLocks noChangeAspect="1"/>
        </xdr:cNvPicPr>
      </xdr:nvPicPr>
      <xdr:blipFill>
        <a:blip xmlns:r="http://schemas.openxmlformats.org/officeDocument/2006/relationships" r:embed="rId2"/>
        <a:stretch>
          <a:fillRect/>
        </a:stretch>
      </xdr:blipFill>
      <xdr:spPr>
        <a:xfrm>
          <a:off x="15932150" y="7956550"/>
          <a:ext cx="6495238" cy="454285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10</xdr:row>
      <xdr:rowOff>0</xdr:rowOff>
    </xdr:from>
    <xdr:to>
      <xdr:col>2</xdr:col>
      <xdr:colOff>2657475</xdr:colOff>
      <xdr:row>34</xdr:row>
      <xdr:rowOff>0</xdr:rowOff>
    </xdr:to>
    <xdr:pic>
      <xdr:nvPicPr>
        <xdr:cNvPr id="2" name="Picture 1">
          <a:extLst>
            <a:ext uri="{FF2B5EF4-FFF2-40B4-BE49-F238E27FC236}">
              <a16:creationId xmlns:a16="http://schemas.microsoft.com/office/drawing/2014/main" id="{80D45AFF-9994-4131-8E1D-B22E6427A352}"/>
            </a:ext>
          </a:extLst>
        </xdr:cNvPr>
        <xdr:cNvPicPr>
          <a:picLocks noChangeAspect="1"/>
        </xdr:cNvPicPr>
      </xdr:nvPicPr>
      <xdr:blipFill rotWithShape="1">
        <a:blip xmlns:r="http://schemas.openxmlformats.org/officeDocument/2006/relationships" r:embed="rId1"/>
        <a:srcRect l="5857" r="5892"/>
        <a:stretch/>
      </xdr:blipFill>
      <xdr:spPr>
        <a:xfrm>
          <a:off x="0" y="0"/>
          <a:ext cx="6315075" cy="4562475"/>
        </a:xfrm>
        <a:prstGeom prst="rect">
          <a:avLst/>
        </a:prstGeom>
      </xdr:spPr>
    </xdr:pic>
    <xdr:clientData/>
  </xdr:twoCellAnchor>
  <xdr:twoCellAnchor editAs="oneCell">
    <xdr:from>
      <xdr:col>0</xdr:col>
      <xdr:colOff>0</xdr:colOff>
      <xdr:row>36</xdr:row>
      <xdr:rowOff>104776</xdr:rowOff>
    </xdr:from>
    <xdr:to>
      <xdr:col>2</xdr:col>
      <xdr:colOff>2008345</xdr:colOff>
      <xdr:row>59</xdr:row>
      <xdr:rowOff>85726</xdr:rowOff>
    </xdr:to>
    <xdr:pic>
      <xdr:nvPicPr>
        <xdr:cNvPr id="3" name="Picture 2">
          <a:extLst>
            <a:ext uri="{FF2B5EF4-FFF2-40B4-BE49-F238E27FC236}">
              <a16:creationId xmlns:a16="http://schemas.microsoft.com/office/drawing/2014/main" id="{6340BBCE-2AF6-4B5C-9D92-DA454E8EBF15}"/>
            </a:ext>
          </a:extLst>
        </xdr:cNvPr>
        <xdr:cNvPicPr>
          <a:picLocks noChangeAspect="1"/>
        </xdr:cNvPicPr>
      </xdr:nvPicPr>
      <xdr:blipFill>
        <a:blip xmlns:r="http://schemas.openxmlformats.org/officeDocument/2006/relationships" r:embed="rId2"/>
        <a:stretch>
          <a:fillRect/>
        </a:stretch>
      </xdr:blipFill>
      <xdr:spPr>
        <a:xfrm>
          <a:off x="0" y="5057776"/>
          <a:ext cx="5665945" cy="4362450"/>
        </a:xfrm>
        <a:prstGeom prst="rect">
          <a:avLst/>
        </a:prstGeom>
      </xdr:spPr>
    </xdr:pic>
    <xdr:clientData/>
  </xdr:twoCellAnchor>
  <xdr:twoCellAnchor editAs="oneCell">
    <xdr:from>
      <xdr:col>2</xdr:col>
      <xdr:colOff>3590925</xdr:colOff>
      <xdr:row>35</xdr:row>
      <xdr:rowOff>28575</xdr:rowOff>
    </xdr:from>
    <xdr:to>
      <xdr:col>9</xdr:col>
      <xdr:colOff>590550</xdr:colOff>
      <xdr:row>62</xdr:row>
      <xdr:rowOff>131850</xdr:rowOff>
    </xdr:to>
    <xdr:pic>
      <xdr:nvPicPr>
        <xdr:cNvPr id="4" name="Picture 3">
          <a:extLst>
            <a:ext uri="{FF2B5EF4-FFF2-40B4-BE49-F238E27FC236}">
              <a16:creationId xmlns:a16="http://schemas.microsoft.com/office/drawing/2014/main" id="{A8022D80-E675-4F07-A144-8CB0445074D2}"/>
            </a:ext>
          </a:extLst>
        </xdr:cNvPr>
        <xdr:cNvPicPr>
          <a:picLocks noChangeAspect="1"/>
        </xdr:cNvPicPr>
      </xdr:nvPicPr>
      <xdr:blipFill>
        <a:blip xmlns:r="http://schemas.openxmlformats.org/officeDocument/2006/relationships" r:embed="rId3"/>
        <a:stretch>
          <a:fillRect/>
        </a:stretch>
      </xdr:blipFill>
      <xdr:spPr>
        <a:xfrm>
          <a:off x="6057900" y="6696075"/>
          <a:ext cx="7000875" cy="5246775"/>
        </a:xfrm>
        <a:prstGeom prst="rect">
          <a:avLst/>
        </a:prstGeom>
      </xdr:spPr>
    </xdr:pic>
    <xdr:clientData/>
  </xdr:twoCellAnchor>
  <xdr:twoCellAnchor editAs="oneCell">
    <xdr:from>
      <xdr:col>3</xdr:col>
      <xdr:colOff>104775</xdr:colOff>
      <xdr:row>12</xdr:row>
      <xdr:rowOff>161925</xdr:rowOff>
    </xdr:from>
    <xdr:to>
      <xdr:col>15</xdr:col>
      <xdr:colOff>97418</xdr:colOff>
      <xdr:row>31</xdr:row>
      <xdr:rowOff>24832</xdr:rowOff>
    </xdr:to>
    <xdr:pic>
      <xdr:nvPicPr>
        <xdr:cNvPr id="5" name="Picture 4">
          <a:extLst>
            <a:ext uri="{FF2B5EF4-FFF2-40B4-BE49-F238E27FC236}">
              <a16:creationId xmlns:a16="http://schemas.microsoft.com/office/drawing/2014/main" id="{57474C27-81AA-4DCE-9067-0EAB8727DFDD}"/>
            </a:ext>
          </a:extLst>
        </xdr:cNvPr>
        <xdr:cNvPicPr>
          <a:picLocks noChangeAspect="1"/>
        </xdr:cNvPicPr>
      </xdr:nvPicPr>
      <xdr:blipFill>
        <a:blip xmlns:r="http://schemas.openxmlformats.org/officeDocument/2006/relationships" r:embed="rId4"/>
        <a:stretch>
          <a:fillRect/>
        </a:stretch>
      </xdr:blipFill>
      <xdr:spPr>
        <a:xfrm>
          <a:off x="6315075" y="2447925"/>
          <a:ext cx="10498718" cy="3482407"/>
        </a:xfrm>
        <a:prstGeom prst="rect">
          <a:avLst/>
        </a:prstGeom>
      </xdr:spPr>
    </xdr:pic>
    <xdr:clientData/>
  </xdr:twoCellAnchor>
  <xdr:twoCellAnchor editAs="oneCell">
    <xdr:from>
      <xdr:col>2</xdr:col>
      <xdr:colOff>3514725</xdr:colOff>
      <xdr:row>63</xdr:row>
      <xdr:rowOff>142875</xdr:rowOff>
    </xdr:from>
    <xdr:to>
      <xdr:col>13</xdr:col>
      <xdr:colOff>1125353</xdr:colOff>
      <xdr:row>83</xdr:row>
      <xdr:rowOff>124354</xdr:rowOff>
    </xdr:to>
    <xdr:pic>
      <xdr:nvPicPr>
        <xdr:cNvPr id="6" name="Picture 5">
          <a:extLst>
            <a:ext uri="{FF2B5EF4-FFF2-40B4-BE49-F238E27FC236}">
              <a16:creationId xmlns:a16="http://schemas.microsoft.com/office/drawing/2014/main" id="{54C68794-78B8-424B-BCFB-1FCD0055B398}"/>
            </a:ext>
          </a:extLst>
        </xdr:cNvPr>
        <xdr:cNvPicPr>
          <a:picLocks noChangeAspect="1"/>
        </xdr:cNvPicPr>
      </xdr:nvPicPr>
      <xdr:blipFill>
        <a:blip xmlns:r="http://schemas.openxmlformats.org/officeDocument/2006/relationships" r:embed="rId5"/>
        <a:stretch>
          <a:fillRect/>
        </a:stretch>
      </xdr:blipFill>
      <xdr:spPr>
        <a:xfrm>
          <a:off x="5981700" y="12144375"/>
          <a:ext cx="10050278" cy="3791479"/>
        </a:xfrm>
        <a:prstGeom prst="rect">
          <a:avLst/>
        </a:prstGeom>
      </xdr:spPr>
    </xdr:pic>
    <xdr:clientData/>
  </xdr:twoCellAnchor>
  <xdr:twoCellAnchor editAs="oneCell">
    <xdr:from>
      <xdr:col>0</xdr:col>
      <xdr:colOff>44451</xdr:colOff>
      <xdr:row>65</xdr:row>
      <xdr:rowOff>12700</xdr:rowOff>
    </xdr:from>
    <xdr:to>
      <xdr:col>2</xdr:col>
      <xdr:colOff>2762251</xdr:colOff>
      <xdr:row>75</xdr:row>
      <xdr:rowOff>146105</xdr:rowOff>
    </xdr:to>
    <xdr:pic>
      <xdr:nvPicPr>
        <xdr:cNvPr id="7" name="Picture 6">
          <a:extLst>
            <a:ext uri="{FF2B5EF4-FFF2-40B4-BE49-F238E27FC236}">
              <a16:creationId xmlns:a16="http://schemas.microsoft.com/office/drawing/2014/main" id="{230DA720-C909-3271-3A2B-0C69B812444F}"/>
            </a:ext>
          </a:extLst>
        </xdr:cNvPr>
        <xdr:cNvPicPr>
          <a:picLocks noChangeAspect="1"/>
        </xdr:cNvPicPr>
      </xdr:nvPicPr>
      <xdr:blipFill>
        <a:blip xmlns:r="http://schemas.openxmlformats.org/officeDocument/2006/relationships" r:embed="rId6"/>
        <a:stretch>
          <a:fillRect/>
        </a:stretch>
      </xdr:blipFill>
      <xdr:spPr>
        <a:xfrm>
          <a:off x="44451" y="11982450"/>
          <a:ext cx="6521450" cy="197490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4</xdr:row>
      <xdr:rowOff>95250</xdr:rowOff>
    </xdr:from>
    <xdr:to>
      <xdr:col>16</xdr:col>
      <xdr:colOff>600075</xdr:colOff>
      <xdr:row>36</xdr:row>
      <xdr:rowOff>171450</xdr:rowOff>
    </xdr:to>
    <xdr:pic>
      <xdr:nvPicPr>
        <xdr:cNvPr id="2" name="Picture 1">
          <a:extLst>
            <a:ext uri="{FF2B5EF4-FFF2-40B4-BE49-F238E27FC236}">
              <a16:creationId xmlns:a16="http://schemas.microsoft.com/office/drawing/2014/main" id="{A4AC75FC-684E-499B-B4FA-7274BBBFF3A1}"/>
            </a:ext>
          </a:extLst>
        </xdr:cNvPr>
        <xdr:cNvPicPr>
          <a:picLocks noChangeAspect="1"/>
        </xdr:cNvPicPr>
      </xdr:nvPicPr>
      <xdr:blipFill rotWithShape="1">
        <a:blip xmlns:r="http://schemas.openxmlformats.org/officeDocument/2006/relationships" r:embed="rId1"/>
        <a:srcRect l="7450" t="3267" r="522" b="4701"/>
        <a:stretch/>
      </xdr:blipFill>
      <xdr:spPr>
        <a:xfrm>
          <a:off x="0" y="857250"/>
          <a:ext cx="10353675" cy="6172200"/>
        </a:xfrm>
        <a:prstGeom prst="rect">
          <a:avLst/>
        </a:prstGeom>
      </xdr:spPr>
    </xdr:pic>
    <xdr:clientData/>
  </xdr:twoCellAnchor>
  <xdr:twoCellAnchor editAs="oneCell">
    <xdr:from>
      <xdr:col>17</xdr:col>
      <xdr:colOff>142875</xdr:colOff>
      <xdr:row>3</xdr:row>
      <xdr:rowOff>152400</xdr:rowOff>
    </xdr:from>
    <xdr:to>
      <xdr:col>32</xdr:col>
      <xdr:colOff>153678</xdr:colOff>
      <xdr:row>33</xdr:row>
      <xdr:rowOff>19829</xdr:rowOff>
    </xdr:to>
    <xdr:pic>
      <xdr:nvPicPr>
        <xdr:cNvPr id="3" name="Picture 2">
          <a:extLst>
            <a:ext uri="{FF2B5EF4-FFF2-40B4-BE49-F238E27FC236}">
              <a16:creationId xmlns:a16="http://schemas.microsoft.com/office/drawing/2014/main" id="{4D12C802-18B2-4B6F-AA10-748D889002B1}"/>
            </a:ext>
          </a:extLst>
        </xdr:cNvPr>
        <xdr:cNvPicPr>
          <a:picLocks noChangeAspect="1"/>
        </xdr:cNvPicPr>
      </xdr:nvPicPr>
      <xdr:blipFill>
        <a:blip xmlns:r="http://schemas.openxmlformats.org/officeDocument/2006/relationships" r:embed="rId2"/>
        <a:stretch>
          <a:fillRect/>
        </a:stretch>
      </xdr:blipFill>
      <xdr:spPr>
        <a:xfrm>
          <a:off x="10506075" y="723900"/>
          <a:ext cx="9154803" cy="5582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25</xdr:row>
      <xdr:rowOff>6350</xdr:rowOff>
    </xdr:from>
    <xdr:to>
      <xdr:col>1</xdr:col>
      <xdr:colOff>2269562</xdr:colOff>
      <xdr:row>57</xdr:row>
      <xdr:rowOff>18312</xdr:rowOff>
    </xdr:to>
    <xdr:pic>
      <xdr:nvPicPr>
        <xdr:cNvPr id="4" name="Picture 3">
          <a:extLst>
            <a:ext uri="{FF2B5EF4-FFF2-40B4-BE49-F238E27FC236}">
              <a16:creationId xmlns:a16="http://schemas.microsoft.com/office/drawing/2014/main" id="{33235E3E-B172-42B1-075C-1BE40320C6F9}"/>
            </a:ext>
          </a:extLst>
        </xdr:cNvPr>
        <xdr:cNvPicPr>
          <a:picLocks noChangeAspect="1"/>
        </xdr:cNvPicPr>
      </xdr:nvPicPr>
      <xdr:blipFill>
        <a:blip xmlns:r="http://schemas.openxmlformats.org/officeDocument/2006/relationships" r:embed="rId1"/>
        <a:stretch>
          <a:fillRect/>
        </a:stretch>
      </xdr:blipFill>
      <xdr:spPr>
        <a:xfrm>
          <a:off x="114300" y="9766300"/>
          <a:ext cx="4504762" cy="5904762"/>
        </a:xfrm>
        <a:prstGeom prst="rect">
          <a:avLst/>
        </a:prstGeom>
      </xdr:spPr>
    </xdr:pic>
    <xdr:clientData/>
  </xdr:twoCellAnchor>
  <xdr:twoCellAnchor editAs="oneCell">
    <xdr:from>
      <xdr:col>0</xdr:col>
      <xdr:colOff>0</xdr:colOff>
      <xdr:row>55</xdr:row>
      <xdr:rowOff>158750</xdr:rowOff>
    </xdr:from>
    <xdr:to>
      <xdr:col>1</xdr:col>
      <xdr:colOff>2021929</xdr:colOff>
      <xdr:row>66</xdr:row>
      <xdr:rowOff>18814</xdr:rowOff>
    </xdr:to>
    <xdr:pic>
      <xdr:nvPicPr>
        <xdr:cNvPr id="5" name="Picture 4">
          <a:extLst>
            <a:ext uri="{FF2B5EF4-FFF2-40B4-BE49-F238E27FC236}">
              <a16:creationId xmlns:a16="http://schemas.microsoft.com/office/drawing/2014/main" id="{584B6C7D-F2CD-0847-3CA0-2AFFC9BAEF59}"/>
            </a:ext>
          </a:extLst>
        </xdr:cNvPr>
        <xdr:cNvPicPr>
          <a:picLocks noChangeAspect="1"/>
        </xdr:cNvPicPr>
      </xdr:nvPicPr>
      <xdr:blipFill>
        <a:blip xmlns:r="http://schemas.openxmlformats.org/officeDocument/2006/relationships" r:embed="rId2"/>
        <a:stretch>
          <a:fillRect/>
        </a:stretch>
      </xdr:blipFill>
      <xdr:spPr>
        <a:xfrm>
          <a:off x="0" y="15443200"/>
          <a:ext cx="4371429" cy="188571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581026</xdr:colOff>
      <xdr:row>6</xdr:row>
      <xdr:rowOff>28575</xdr:rowOff>
    </xdr:from>
    <xdr:to>
      <xdr:col>4</xdr:col>
      <xdr:colOff>3133726</xdr:colOff>
      <xdr:row>32</xdr:row>
      <xdr:rowOff>22173</xdr:rowOff>
    </xdr:to>
    <xdr:pic>
      <xdr:nvPicPr>
        <xdr:cNvPr id="2" name="Picture 1">
          <a:extLst>
            <a:ext uri="{FF2B5EF4-FFF2-40B4-BE49-F238E27FC236}">
              <a16:creationId xmlns:a16="http://schemas.microsoft.com/office/drawing/2014/main" id="{FCD82185-E56E-43C6-9BB3-141291DFFD7E}"/>
            </a:ext>
          </a:extLst>
        </xdr:cNvPr>
        <xdr:cNvPicPr>
          <a:picLocks noChangeAspect="1"/>
        </xdr:cNvPicPr>
      </xdr:nvPicPr>
      <xdr:blipFill>
        <a:blip xmlns:r="http://schemas.openxmlformats.org/officeDocument/2006/relationships" r:embed="rId1"/>
        <a:stretch>
          <a:fillRect/>
        </a:stretch>
      </xdr:blipFill>
      <xdr:spPr>
        <a:xfrm>
          <a:off x="581026" y="1133475"/>
          <a:ext cx="7854950" cy="4781498"/>
        </a:xfrm>
        <a:prstGeom prst="rect">
          <a:avLst/>
        </a:prstGeom>
      </xdr:spPr>
    </xdr:pic>
    <xdr:clientData/>
  </xdr:twoCellAnchor>
  <xdr:twoCellAnchor editAs="oneCell">
    <xdr:from>
      <xdr:col>7</xdr:col>
      <xdr:colOff>6350</xdr:colOff>
      <xdr:row>6</xdr:row>
      <xdr:rowOff>69850</xdr:rowOff>
    </xdr:from>
    <xdr:to>
      <xdr:col>29</xdr:col>
      <xdr:colOff>484538</xdr:colOff>
      <xdr:row>29</xdr:row>
      <xdr:rowOff>108567</xdr:rowOff>
    </xdr:to>
    <xdr:pic>
      <xdr:nvPicPr>
        <xdr:cNvPr id="3" name="Picture 2">
          <a:extLst>
            <a:ext uri="{FF2B5EF4-FFF2-40B4-BE49-F238E27FC236}">
              <a16:creationId xmlns:a16="http://schemas.microsoft.com/office/drawing/2014/main" id="{B2496D92-BD39-41B3-89AC-DBA270186EFB}"/>
            </a:ext>
          </a:extLst>
        </xdr:cNvPr>
        <xdr:cNvPicPr>
          <a:picLocks noChangeAspect="1"/>
        </xdr:cNvPicPr>
      </xdr:nvPicPr>
      <xdr:blipFill>
        <a:blip xmlns:r="http://schemas.openxmlformats.org/officeDocument/2006/relationships" r:embed="rId2"/>
        <a:stretch>
          <a:fillRect/>
        </a:stretch>
      </xdr:blipFill>
      <xdr:spPr>
        <a:xfrm>
          <a:off x="8699500" y="1174750"/>
          <a:ext cx="13889388" cy="427416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507999</xdr:colOff>
      <xdr:row>6</xdr:row>
      <xdr:rowOff>126998</xdr:rowOff>
    </xdr:from>
    <xdr:to>
      <xdr:col>3</xdr:col>
      <xdr:colOff>2681770</xdr:colOff>
      <xdr:row>29</xdr:row>
      <xdr:rowOff>2300</xdr:rowOff>
    </xdr:to>
    <xdr:pic>
      <xdr:nvPicPr>
        <xdr:cNvPr id="2" name="Picture 1">
          <a:extLst>
            <a:ext uri="{FF2B5EF4-FFF2-40B4-BE49-F238E27FC236}">
              <a16:creationId xmlns:a16="http://schemas.microsoft.com/office/drawing/2014/main" id="{ED7BDED5-767F-46C7-BAF8-5B0E8424ADC1}"/>
            </a:ext>
          </a:extLst>
        </xdr:cNvPr>
        <xdr:cNvPicPr>
          <a:picLocks noChangeAspect="1"/>
        </xdr:cNvPicPr>
      </xdr:nvPicPr>
      <xdr:blipFill>
        <a:blip xmlns:r="http://schemas.openxmlformats.org/officeDocument/2006/relationships" r:embed="rId1"/>
        <a:stretch>
          <a:fillRect/>
        </a:stretch>
      </xdr:blipFill>
      <xdr:spPr>
        <a:xfrm>
          <a:off x="4801576" y="1269998"/>
          <a:ext cx="5859213" cy="4253627"/>
        </a:xfrm>
        <a:prstGeom prst="rect">
          <a:avLst/>
        </a:prstGeom>
      </xdr:spPr>
    </xdr:pic>
    <xdr:clientData/>
  </xdr:twoCellAnchor>
  <xdr:twoCellAnchor editAs="oneCell">
    <xdr:from>
      <xdr:col>2</xdr:col>
      <xdr:colOff>632558</xdr:colOff>
      <xdr:row>26</xdr:row>
      <xdr:rowOff>12698</xdr:rowOff>
    </xdr:from>
    <xdr:to>
      <xdr:col>3</xdr:col>
      <xdr:colOff>3054990</xdr:colOff>
      <xdr:row>45</xdr:row>
      <xdr:rowOff>79888</xdr:rowOff>
    </xdr:to>
    <xdr:pic>
      <xdr:nvPicPr>
        <xdr:cNvPr id="3" name="Picture 2">
          <a:extLst>
            <a:ext uri="{FF2B5EF4-FFF2-40B4-BE49-F238E27FC236}">
              <a16:creationId xmlns:a16="http://schemas.microsoft.com/office/drawing/2014/main" id="{596EB0F0-17B3-48EC-8B1F-84474045576C}"/>
            </a:ext>
          </a:extLst>
        </xdr:cNvPr>
        <xdr:cNvPicPr>
          <a:picLocks noChangeAspect="1"/>
        </xdr:cNvPicPr>
      </xdr:nvPicPr>
      <xdr:blipFill>
        <a:blip xmlns:r="http://schemas.openxmlformats.org/officeDocument/2006/relationships" r:embed="rId2"/>
        <a:stretch>
          <a:fillRect/>
        </a:stretch>
      </xdr:blipFill>
      <xdr:spPr>
        <a:xfrm>
          <a:off x="4926135" y="4965698"/>
          <a:ext cx="6107874" cy="3686690"/>
        </a:xfrm>
        <a:prstGeom prst="rect">
          <a:avLst/>
        </a:prstGeom>
      </xdr:spPr>
    </xdr:pic>
    <xdr:clientData/>
  </xdr:twoCellAnchor>
  <xdr:twoCellAnchor editAs="oneCell">
    <xdr:from>
      <xdr:col>0</xdr:col>
      <xdr:colOff>0</xdr:colOff>
      <xdr:row>5</xdr:row>
      <xdr:rowOff>59348</xdr:rowOff>
    </xdr:from>
    <xdr:to>
      <xdr:col>2</xdr:col>
      <xdr:colOff>330122</xdr:colOff>
      <xdr:row>44</xdr:row>
      <xdr:rowOff>14654</xdr:rowOff>
    </xdr:to>
    <xdr:pic>
      <xdr:nvPicPr>
        <xdr:cNvPr id="4" name="Picture 3">
          <a:extLst>
            <a:ext uri="{FF2B5EF4-FFF2-40B4-BE49-F238E27FC236}">
              <a16:creationId xmlns:a16="http://schemas.microsoft.com/office/drawing/2014/main" id="{419CC42C-3FB6-4B53-8AA0-F3F2325E3058}"/>
            </a:ext>
          </a:extLst>
        </xdr:cNvPr>
        <xdr:cNvPicPr>
          <a:picLocks noChangeAspect="1"/>
        </xdr:cNvPicPr>
      </xdr:nvPicPr>
      <xdr:blipFill>
        <a:blip xmlns:r="http://schemas.openxmlformats.org/officeDocument/2006/relationships" r:embed="rId3"/>
        <a:stretch>
          <a:fillRect/>
        </a:stretch>
      </xdr:blipFill>
      <xdr:spPr>
        <a:xfrm>
          <a:off x="0" y="1173040"/>
          <a:ext cx="4799545" cy="7194306"/>
        </a:xfrm>
        <a:prstGeom prst="rect">
          <a:avLst/>
        </a:prstGeom>
      </xdr:spPr>
    </xdr:pic>
    <xdr:clientData/>
  </xdr:twoCellAnchor>
  <xdr:twoCellAnchor editAs="oneCell">
    <xdr:from>
      <xdr:col>3</xdr:col>
      <xdr:colOff>3073156</xdr:colOff>
      <xdr:row>7</xdr:row>
      <xdr:rowOff>111123</xdr:rowOff>
    </xdr:from>
    <xdr:to>
      <xdr:col>8</xdr:col>
      <xdr:colOff>323265</xdr:colOff>
      <xdr:row>14</xdr:row>
      <xdr:rowOff>111311</xdr:rowOff>
    </xdr:to>
    <xdr:pic>
      <xdr:nvPicPr>
        <xdr:cNvPr id="5" name="Picture 4">
          <a:extLst>
            <a:ext uri="{FF2B5EF4-FFF2-40B4-BE49-F238E27FC236}">
              <a16:creationId xmlns:a16="http://schemas.microsoft.com/office/drawing/2014/main" id="{ECBE34D5-BB94-4471-8944-B9421C3F1EC1}"/>
            </a:ext>
          </a:extLst>
        </xdr:cNvPr>
        <xdr:cNvPicPr>
          <a:picLocks noChangeAspect="1"/>
        </xdr:cNvPicPr>
      </xdr:nvPicPr>
      <xdr:blipFill>
        <a:blip xmlns:r="http://schemas.openxmlformats.org/officeDocument/2006/relationships" r:embed="rId4"/>
        <a:stretch>
          <a:fillRect/>
        </a:stretch>
      </xdr:blipFill>
      <xdr:spPr>
        <a:xfrm>
          <a:off x="11401425" y="1410431"/>
          <a:ext cx="6325725" cy="1299495"/>
        </a:xfrm>
        <a:prstGeom prst="rect">
          <a:avLst/>
        </a:prstGeom>
      </xdr:spPr>
    </xdr:pic>
    <xdr:clientData/>
  </xdr:twoCellAnchor>
  <xdr:twoCellAnchor editAs="oneCell">
    <xdr:from>
      <xdr:col>0</xdr:col>
      <xdr:colOff>0</xdr:colOff>
      <xdr:row>45</xdr:row>
      <xdr:rowOff>1955</xdr:rowOff>
    </xdr:from>
    <xdr:to>
      <xdr:col>2</xdr:col>
      <xdr:colOff>626160</xdr:colOff>
      <xdr:row>75</xdr:row>
      <xdr:rowOff>131236</xdr:rowOff>
    </xdr:to>
    <xdr:pic>
      <xdr:nvPicPr>
        <xdr:cNvPr id="6" name="Picture 5">
          <a:extLst>
            <a:ext uri="{FF2B5EF4-FFF2-40B4-BE49-F238E27FC236}">
              <a16:creationId xmlns:a16="http://schemas.microsoft.com/office/drawing/2014/main" id="{49AA0A31-0E81-4270-949F-5BB647C98BA4}"/>
            </a:ext>
          </a:extLst>
        </xdr:cNvPr>
        <xdr:cNvPicPr>
          <a:picLocks noChangeAspect="1"/>
        </xdr:cNvPicPr>
      </xdr:nvPicPr>
      <xdr:blipFill>
        <a:blip xmlns:r="http://schemas.openxmlformats.org/officeDocument/2006/relationships" r:embed="rId5"/>
        <a:stretch>
          <a:fillRect/>
        </a:stretch>
      </xdr:blipFill>
      <xdr:spPr>
        <a:xfrm>
          <a:off x="0" y="8354647"/>
          <a:ext cx="5095583" cy="5697743"/>
        </a:xfrm>
        <a:prstGeom prst="rect">
          <a:avLst/>
        </a:prstGeom>
      </xdr:spPr>
    </xdr:pic>
    <xdr:clientData/>
  </xdr:twoCellAnchor>
  <xdr:twoCellAnchor editAs="oneCell">
    <xdr:from>
      <xdr:col>2</xdr:col>
      <xdr:colOff>307731</xdr:colOff>
      <xdr:row>46</xdr:row>
      <xdr:rowOff>112346</xdr:rowOff>
    </xdr:from>
    <xdr:to>
      <xdr:col>4</xdr:col>
      <xdr:colOff>1033809</xdr:colOff>
      <xdr:row>62</xdr:row>
      <xdr:rowOff>123452</xdr:rowOff>
    </xdr:to>
    <xdr:pic>
      <xdr:nvPicPr>
        <xdr:cNvPr id="7" name="Picture 6">
          <a:extLst>
            <a:ext uri="{FF2B5EF4-FFF2-40B4-BE49-F238E27FC236}">
              <a16:creationId xmlns:a16="http://schemas.microsoft.com/office/drawing/2014/main" id="{3CED26EF-5EA0-CA9C-FA58-53A0B31C2973}"/>
            </a:ext>
          </a:extLst>
        </xdr:cNvPr>
        <xdr:cNvPicPr>
          <a:picLocks noChangeAspect="1"/>
        </xdr:cNvPicPr>
      </xdr:nvPicPr>
      <xdr:blipFill>
        <a:blip xmlns:r="http://schemas.openxmlformats.org/officeDocument/2006/relationships" r:embed="rId6"/>
        <a:stretch>
          <a:fillRect/>
        </a:stretch>
      </xdr:blipFill>
      <xdr:spPr>
        <a:xfrm>
          <a:off x="4777154" y="8650654"/>
          <a:ext cx="9923809" cy="29809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666751</xdr:colOff>
      <xdr:row>8</xdr:row>
      <xdr:rowOff>119338</xdr:rowOff>
    </xdr:from>
    <xdr:to>
      <xdr:col>4</xdr:col>
      <xdr:colOff>500946</xdr:colOff>
      <xdr:row>41</xdr:row>
      <xdr:rowOff>40990</xdr:rowOff>
    </xdr:to>
    <xdr:pic>
      <xdr:nvPicPr>
        <xdr:cNvPr id="2" name="Picture 1">
          <a:extLst>
            <a:ext uri="{FF2B5EF4-FFF2-40B4-BE49-F238E27FC236}">
              <a16:creationId xmlns:a16="http://schemas.microsoft.com/office/drawing/2014/main" id="{25E020F4-D0E8-442D-BBE9-8AF45023B27B}"/>
            </a:ext>
          </a:extLst>
        </xdr:cNvPr>
        <xdr:cNvPicPr>
          <a:picLocks noChangeAspect="1"/>
        </xdr:cNvPicPr>
      </xdr:nvPicPr>
      <xdr:blipFill>
        <a:blip xmlns:r="http://schemas.openxmlformats.org/officeDocument/2006/relationships" r:embed="rId1"/>
        <a:stretch>
          <a:fillRect/>
        </a:stretch>
      </xdr:blipFill>
      <xdr:spPr>
        <a:xfrm>
          <a:off x="7810501" y="1833838"/>
          <a:ext cx="6374695" cy="6208152"/>
        </a:xfrm>
        <a:prstGeom prst="rect">
          <a:avLst/>
        </a:prstGeom>
      </xdr:spPr>
    </xdr:pic>
    <xdr:clientData/>
  </xdr:twoCellAnchor>
  <xdr:twoCellAnchor editAs="oneCell">
    <xdr:from>
      <xdr:col>0</xdr:col>
      <xdr:colOff>398638</xdr:colOff>
      <xdr:row>11</xdr:row>
      <xdr:rowOff>142485</xdr:rowOff>
    </xdr:from>
    <xdr:to>
      <xdr:col>2</xdr:col>
      <xdr:colOff>1133824</xdr:colOff>
      <xdr:row>32</xdr:row>
      <xdr:rowOff>10583</xdr:rowOff>
    </xdr:to>
    <xdr:pic>
      <xdr:nvPicPr>
        <xdr:cNvPr id="3" name="Picture 2">
          <a:extLst>
            <a:ext uri="{FF2B5EF4-FFF2-40B4-BE49-F238E27FC236}">
              <a16:creationId xmlns:a16="http://schemas.microsoft.com/office/drawing/2014/main" id="{EEE936E8-F812-4E8A-B7D7-174C25606649}"/>
            </a:ext>
          </a:extLst>
        </xdr:cNvPr>
        <xdr:cNvPicPr>
          <a:picLocks noChangeAspect="1"/>
        </xdr:cNvPicPr>
      </xdr:nvPicPr>
      <xdr:blipFill>
        <a:blip xmlns:r="http://schemas.openxmlformats.org/officeDocument/2006/relationships" r:embed="rId2"/>
        <a:stretch>
          <a:fillRect/>
        </a:stretch>
      </xdr:blipFill>
      <xdr:spPr>
        <a:xfrm>
          <a:off x="398638" y="2428485"/>
          <a:ext cx="7878936" cy="3868598"/>
        </a:xfrm>
        <a:prstGeom prst="rect">
          <a:avLst/>
        </a:prstGeom>
      </xdr:spPr>
    </xdr:pic>
    <xdr:clientData/>
  </xdr:twoCellAnchor>
  <xdr:twoCellAnchor editAs="oneCell">
    <xdr:from>
      <xdr:col>2</xdr:col>
      <xdr:colOff>1227650</xdr:colOff>
      <xdr:row>41</xdr:row>
      <xdr:rowOff>7056</xdr:rowOff>
    </xdr:from>
    <xdr:to>
      <xdr:col>4</xdr:col>
      <xdr:colOff>1235607</xdr:colOff>
      <xdr:row>81</xdr:row>
      <xdr:rowOff>154993</xdr:rowOff>
    </xdr:to>
    <xdr:pic>
      <xdr:nvPicPr>
        <xdr:cNvPr id="4" name="Picture 3">
          <a:extLst>
            <a:ext uri="{FF2B5EF4-FFF2-40B4-BE49-F238E27FC236}">
              <a16:creationId xmlns:a16="http://schemas.microsoft.com/office/drawing/2014/main" id="{B5E68E5C-48D3-BB78-DE60-9E6E9C3E51A9}"/>
            </a:ext>
          </a:extLst>
        </xdr:cNvPr>
        <xdr:cNvPicPr>
          <a:picLocks noChangeAspect="1"/>
        </xdr:cNvPicPr>
      </xdr:nvPicPr>
      <xdr:blipFill>
        <a:blip xmlns:r="http://schemas.openxmlformats.org/officeDocument/2006/relationships" r:embed="rId3"/>
        <a:stretch>
          <a:fillRect/>
        </a:stretch>
      </xdr:blipFill>
      <xdr:spPr>
        <a:xfrm>
          <a:off x="8664206" y="7711723"/>
          <a:ext cx="6851845" cy="7485714"/>
        </a:xfrm>
        <a:prstGeom prst="rect">
          <a:avLst/>
        </a:prstGeom>
      </xdr:spPr>
    </xdr:pic>
    <xdr:clientData/>
  </xdr:twoCellAnchor>
  <xdr:twoCellAnchor editAs="oneCell">
    <xdr:from>
      <xdr:col>1</xdr:col>
      <xdr:colOff>0</xdr:colOff>
      <xdr:row>34</xdr:row>
      <xdr:rowOff>0</xdr:rowOff>
    </xdr:from>
    <xdr:to>
      <xdr:col>2</xdr:col>
      <xdr:colOff>103555</xdr:colOff>
      <xdr:row>49</xdr:row>
      <xdr:rowOff>67382</xdr:rowOff>
    </xdr:to>
    <xdr:pic>
      <xdr:nvPicPr>
        <xdr:cNvPr id="5" name="Picture 4">
          <a:extLst>
            <a:ext uri="{FF2B5EF4-FFF2-40B4-BE49-F238E27FC236}">
              <a16:creationId xmlns:a16="http://schemas.microsoft.com/office/drawing/2014/main" id="{8E43EAD1-FA9A-48C0-1151-33E21CC4E993}"/>
            </a:ext>
          </a:extLst>
        </xdr:cNvPr>
        <xdr:cNvPicPr>
          <a:picLocks noChangeAspect="1"/>
        </xdr:cNvPicPr>
      </xdr:nvPicPr>
      <xdr:blipFill>
        <a:blip xmlns:r="http://schemas.openxmlformats.org/officeDocument/2006/relationships" r:embed="rId4"/>
        <a:stretch>
          <a:fillRect/>
        </a:stretch>
      </xdr:blipFill>
      <xdr:spPr>
        <a:xfrm>
          <a:off x="606778" y="6420556"/>
          <a:ext cx="6933333" cy="28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393700</xdr:colOff>
      <xdr:row>4</xdr:row>
      <xdr:rowOff>149225</xdr:rowOff>
    </xdr:from>
    <xdr:to>
      <xdr:col>4</xdr:col>
      <xdr:colOff>3562350</xdr:colOff>
      <xdr:row>39</xdr:row>
      <xdr:rowOff>27596</xdr:rowOff>
    </xdr:to>
    <xdr:pic>
      <xdr:nvPicPr>
        <xdr:cNvPr id="2" name="Picture 1">
          <a:extLst>
            <a:ext uri="{FF2B5EF4-FFF2-40B4-BE49-F238E27FC236}">
              <a16:creationId xmlns:a16="http://schemas.microsoft.com/office/drawing/2014/main" id="{FB36089E-E649-4BC6-B50D-3E4B6519CE04}"/>
            </a:ext>
          </a:extLst>
        </xdr:cNvPr>
        <xdr:cNvPicPr>
          <a:picLocks noChangeAspect="1"/>
        </xdr:cNvPicPr>
      </xdr:nvPicPr>
      <xdr:blipFill>
        <a:blip xmlns:r="http://schemas.openxmlformats.org/officeDocument/2006/relationships" r:embed="rId1"/>
        <a:stretch>
          <a:fillRect/>
        </a:stretch>
      </xdr:blipFill>
      <xdr:spPr>
        <a:xfrm>
          <a:off x="393700" y="885825"/>
          <a:ext cx="9058275" cy="632362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28575</xdr:colOff>
      <xdr:row>7</xdr:row>
      <xdr:rowOff>66675</xdr:rowOff>
    </xdr:from>
    <xdr:to>
      <xdr:col>2</xdr:col>
      <xdr:colOff>2608674</xdr:colOff>
      <xdr:row>42</xdr:row>
      <xdr:rowOff>180127</xdr:rowOff>
    </xdr:to>
    <xdr:pic>
      <xdr:nvPicPr>
        <xdr:cNvPr id="2" name="Picture 1">
          <a:extLst>
            <a:ext uri="{FF2B5EF4-FFF2-40B4-BE49-F238E27FC236}">
              <a16:creationId xmlns:a16="http://schemas.microsoft.com/office/drawing/2014/main" id="{ABE6CBF5-6C43-48CF-8AE2-FE556AC23132}"/>
            </a:ext>
          </a:extLst>
        </xdr:cNvPr>
        <xdr:cNvPicPr>
          <a:picLocks noChangeAspect="1"/>
        </xdr:cNvPicPr>
      </xdr:nvPicPr>
      <xdr:blipFill>
        <a:blip xmlns:r="http://schemas.openxmlformats.org/officeDocument/2006/relationships" r:embed="rId1"/>
        <a:stretch>
          <a:fillRect/>
        </a:stretch>
      </xdr:blipFill>
      <xdr:spPr>
        <a:xfrm>
          <a:off x="638175" y="1762125"/>
          <a:ext cx="9409524" cy="6780952"/>
        </a:xfrm>
        <a:prstGeom prst="rect">
          <a:avLst/>
        </a:prstGeom>
      </xdr:spPr>
    </xdr:pic>
    <xdr:clientData/>
  </xdr:twoCellAnchor>
  <xdr:twoCellAnchor editAs="oneCell">
    <xdr:from>
      <xdr:col>2</xdr:col>
      <xdr:colOff>3105150</xdr:colOff>
      <xdr:row>9</xdr:row>
      <xdr:rowOff>95250</xdr:rowOff>
    </xdr:from>
    <xdr:to>
      <xdr:col>5</xdr:col>
      <xdr:colOff>1513277</xdr:colOff>
      <xdr:row>37</xdr:row>
      <xdr:rowOff>151726</xdr:rowOff>
    </xdr:to>
    <xdr:pic>
      <xdr:nvPicPr>
        <xdr:cNvPr id="3" name="Picture 2">
          <a:extLst>
            <a:ext uri="{FF2B5EF4-FFF2-40B4-BE49-F238E27FC236}">
              <a16:creationId xmlns:a16="http://schemas.microsoft.com/office/drawing/2014/main" id="{CE38EB67-DE3F-4E06-BC58-24A361ABFE98}"/>
            </a:ext>
          </a:extLst>
        </xdr:cNvPr>
        <xdr:cNvPicPr>
          <a:picLocks noChangeAspect="1"/>
        </xdr:cNvPicPr>
      </xdr:nvPicPr>
      <xdr:blipFill>
        <a:blip xmlns:r="http://schemas.openxmlformats.org/officeDocument/2006/relationships" r:embed="rId2"/>
        <a:stretch>
          <a:fillRect/>
        </a:stretch>
      </xdr:blipFill>
      <xdr:spPr>
        <a:xfrm>
          <a:off x="10544175" y="2171700"/>
          <a:ext cx="9580952" cy="5390476"/>
        </a:xfrm>
        <a:prstGeom prst="rect">
          <a:avLst/>
        </a:prstGeom>
      </xdr:spPr>
    </xdr:pic>
    <xdr:clientData/>
  </xdr:twoCellAnchor>
  <xdr:twoCellAnchor editAs="oneCell">
    <xdr:from>
      <xdr:col>0</xdr:col>
      <xdr:colOff>463550</xdr:colOff>
      <xdr:row>42</xdr:row>
      <xdr:rowOff>120650</xdr:rowOff>
    </xdr:from>
    <xdr:to>
      <xdr:col>2</xdr:col>
      <xdr:colOff>2769960</xdr:colOff>
      <xdr:row>78</xdr:row>
      <xdr:rowOff>32694</xdr:rowOff>
    </xdr:to>
    <xdr:pic>
      <xdr:nvPicPr>
        <xdr:cNvPr id="4" name="Picture 3">
          <a:extLst>
            <a:ext uri="{FF2B5EF4-FFF2-40B4-BE49-F238E27FC236}">
              <a16:creationId xmlns:a16="http://schemas.microsoft.com/office/drawing/2014/main" id="{3DD809E1-904E-47E4-BD7D-4481C190386F}"/>
            </a:ext>
          </a:extLst>
        </xdr:cNvPr>
        <xdr:cNvPicPr>
          <a:picLocks noChangeAspect="1"/>
        </xdr:cNvPicPr>
      </xdr:nvPicPr>
      <xdr:blipFill>
        <a:blip xmlns:r="http://schemas.openxmlformats.org/officeDocument/2006/relationships" r:embed="rId3"/>
        <a:stretch>
          <a:fillRect/>
        </a:stretch>
      </xdr:blipFill>
      <xdr:spPr>
        <a:xfrm>
          <a:off x="463550" y="8223250"/>
          <a:ext cx="10072460" cy="6541444"/>
        </a:xfrm>
        <a:prstGeom prst="rect">
          <a:avLst/>
        </a:prstGeom>
      </xdr:spPr>
    </xdr:pic>
    <xdr:clientData/>
  </xdr:twoCellAnchor>
  <xdr:twoCellAnchor editAs="oneCell">
    <xdr:from>
      <xdr:col>3</xdr:col>
      <xdr:colOff>0</xdr:colOff>
      <xdr:row>43</xdr:row>
      <xdr:rowOff>0</xdr:rowOff>
    </xdr:from>
    <xdr:to>
      <xdr:col>5</xdr:col>
      <xdr:colOff>973590</xdr:colOff>
      <xdr:row>72</xdr:row>
      <xdr:rowOff>2507</xdr:rowOff>
    </xdr:to>
    <xdr:pic>
      <xdr:nvPicPr>
        <xdr:cNvPr id="5" name="Picture 4">
          <a:extLst>
            <a:ext uri="{FF2B5EF4-FFF2-40B4-BE49-F238E27FC236}">
              <a16:creationId xmlns:a16="http://schemas.microsoft.com/office/drawing/2014/main" id="{0808E0AC-42E6-29FF-A62D-4D65269F8FE9}"/>
            </a:ext>
          </a:extLst>
        </xdr:cNvPr>
        <xdr:cNvPicPr>
          <a:picLocks noChangeAspect="1"/>
        </xdr:cNvPicPr>
      </xdr:nvPicPr>
      <xdr:blipFill>
        <a:blip xmlns:r="http://schemas.openxmlformats.org/officeDocument/2006/relationships" r:embed="rId4"/>
        <a:stretch>
          <a:fillRect/>
        </a:stretch>
      </xdr:blipFill>
      <xdr:spPr>
        <a:xfrm>
          <a:off x="11366500" y="8293100"/>
          <a:ext cx="9076190" cy="534285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514350</xdr:colOff>
      <xdr:row>3</xdr:row>
      <xdr:rowOff>133350</xdr:rowOff>
    </xdr:from>
    <xdr:to>
      <xdr:col>13</xdr:col>
      <xdr:colOff>97013</xdr:colOff>
      <xdr:row>38</xdr:row>
      <xdr:rowOff>86649</xdr:rowOff>
    </xdr:to>
    <xdr:pic>
      <xdr:nvPicPr>
        <xdr:cNvPr id="2" name="Picture 1">
          <a:extLst>
            <a:ext uri="{FF2B5EF4-FFF2-40B4-BE49-F238E27FC236}">
              <a16:creationId xmlns:a16="http://schemas.microsoft.com/office/drawing/2014/main" id="{230C271A-260C-47E9-9809-92803424283C}"/>
            </a:ext>
          </a:extLst>
        </xdr:cNvPr>
        <xdr:cNvPicPr>
          <a:picLocks noChangeAspect="1"/>
        </xdr:cNvPicPr>
      </xdr:nvPicPr>
      <xdr:blipFill>
        <a:blip xmlns:r="http://schemas.openxmlformats.org/officeDocument/2006/relationships" r:embed="rId1"/>
        <a:stretch>
          <a:fillRect/>
        </a:stretch>
      </xdr:blipFill>
      <xdr:spPr>
        <a:xfrm>
          <a:off x="514350" y="895350"/>
          <a:ext cx="12631913" cy="662079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w.nice.org.uk/guidance/ta428/documents/committee-papers-3" TargetMode="External"/><Relationship Id="rId7" Type="http://schemas.openxmlformats.org/officeDocument/2006/relationships/printerSettings" Target="../printerSettings/printerSettings1.bin"/><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4" Type="http://schemas.openxmlformats.org/officeDocument/2006/relationships/hyperlink" Target="https://www.nice.org.uk/guidance/ta650/documents/1-2"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0.bin"/><Relationship Id="rId1"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link.springer.com/article/10.1007/s11523-017-0517-2" TargetMode="External"/><Relationship Id="rId1" Type="http://schemas.openxmlformats.org/officeDocument/2006/relationships/hyperlink" Target="https://www.nice.org.uk/guidance/ta347" TargetMode="External"/><Relationship Id="rId4"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2.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3.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4.bin"/><Relationship Id="rId1" Type="http://schemas.openxmlformats.org/officeDocument/2006/relationships/hyperlink" Target="https://www.nice.org.uk/guidance/ta366/documents/committee-papers" TargetMode="Externa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5.bin"/><Relationship Id="rId2" Type="http://schemas.openxmlformats.org/officeDocument/2006/relationships/hyperlink" Target="https://www.nice.org.uk/guidance/ta374/documents/final-appraisal-determination-document-2" TargetMode="External"/><Relationship Id="rId1" Type="http://schemas.openxmlformats.org/officeDocument/2006/relationships/hyperlink" Target="https://www.nice.org.uk/guidance/ta374/documents/committee-papers"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16.bin"/><Relationship Id="rId2" Type="http://schemas.openxmlformats.org/officeDocument/2006/relationships/hyperlink" Target="https://www.nice.org.uk/guidance/ta384/documents/final-appraisal-determination-document" TargetMode="External"/><Relationship Id="rId1" Type="http://schemas.openxmlformats.org/officeDocument/2006/relationships/hyperlink" Target="https://www.nice.org.uk/guidance/ta384/documents/committee-papers" TargetMode="External"/><Relationship Id="rId4"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3" Type="http://schemas.openxmlformats.org/officeDocument/2006/relationships/hyperlink" Target="https://www.nice.org.uk/guidance/ta396/documents/committee-papers" TargetMode="External"/><Relationship Id="rId2" Type="http://schemas.openxmlformats.org/officeDocument/2006/relationships/hyperlink" Target="https://www.nice.org.uk/guidance/ta396/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drawing" Target="../drawings/drawing14.xml"/><Relationship Id="rId5" Type="http://schemas.openxmlformats.org/officeDocument/2006/relationships/printerSettings" Target="../printerSettings/printerSettings17.bin"/><Relationship Id="rId4" Type="http://schemas.openxmlformats.org/officeDocument/2006/relationships/hyperlink" Target="https://www.nejm.org/doi/full/10.1056/NEJMoa1904059" TargetMode="External"/></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rinterSettings" Target="../printerSettings/printerSettings18.bin"/><Relationship Id="rId1" Type="http://schemas.openxmlformats.org/officeDocument/2006/relationships/hyperlink" Target="https://www.nice.org.uk/guidance/ta400/documents/committee-papers-2" TargetMode="External"/></Relationships>
</file>

<file path=xl/worksheets/_rels/sheet19.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19.bin"/><Relationship Id="rId1" Type="http://schemas.openxmlformats.org/officeDocument/2006/relationships/hyperlink" Target="https://www.nice.org.uk/guidance/ta414/documents/committee-papers"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66/documents/final-appraisal-determination-document" TargetMode="External"/><Relationship Id="rId17" Type="http://schemas.openxmlformats.org/officeDocument/2006/relationships/drawing" Target="../drawings/drawing2.xm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6" Type="http://schemas.openxmlformats.org/officeDocument/2006/relationships/printerSettings" Target="../printerSettings/printerSettings2.bin"/><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5" Type="http://schemas.openxmlformats.org/officeDocument/2006/relationships/hyperlink" Target="https://www.nice.org.uk/guidance/ta319/documents/evaluation-report2"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hyperlink" Target="https://www.nice.org.uk/guidance/ta268/documents/melanoma-stage-iii-or-iv-ipilimumab-evidence-review-group-report3" TargetMode="Externa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printerSettings" Target="../printerSettings/printerSettings20.bin"/><Relationship Id="rId1" Type="http://schemas.openxmlformats.org/officeDocument/2006/relationships/hyperlink" Target="https://www.nice.org.uk/guidance/ta417/documents/committee-papers-4" TargetMode="External"/></Relationships>
</file>

<file path=xl/worksheets/_rels/sheet21.xml.rels><?xml version="1.0" encoding="UTF-8" standalone="yes"?>
<Relationships xmlns="http://schemas.openxmlformats.org/package/2006/relationships"><Relationship Id="rId3" Type="http://schemas.openxmlformats.org/officeDocument/2006/relationships/hyperlink" Target="https://www.jto.org/article/S1556-0864(21)02172-9/fulltext" TargetMode="External"/><Relationship Id="rId2" Type="http://schemas.openxmlformats.org/officeDocument/2006/relationships/hyperlink" Target="https://www.thelancet.com/journals/lancet/article/PIIS0140-6736(15)01281-7/fulltext" TargetMode="External"/><Relationship Id="rId1" Type="http://schemas.openxmlformats.org/officeDocument/2006/relationships/hyperlink" Target="https://www.nice.org.uk/guidance/ta428/documents/committee-papers" TargetMode="External"/><Relationship Id="rId6" Type="http://schemas.openxmlformats.org/officeDocument/2006/relationships/drawing" Target="../drawings/drawing18.xml"/><Relationship Id="rId5" Type="http://schemas.openxmlformats.org/officeDocument/2006/relationships/printerSettings" Target="../printerSettings/printerSettings21.bin"/><Relationship Id="rId4" Type="http://schemas.openxmlformats.org/officeDocument/2006/relationships/hyperlink" Target="https://www.jto.org/article/S1556-0864(21)02172-9/fulltext" TargetMode="External"/></Relationships>
</file>

<file path=xl/worksheets/_rels/sheet22.xml.rels><?xml version="1.0" encoding="UTF-8" standalone="yes"?>
<Relationships xmlns="http://schemas.openxmlformats.org/package/2006/relationships"><Relationship Id="rId3" Type="http://schemas.openxmlformats.org/officeDocument/2006/relationships/printerSettings" Target="../printerSettings/printerSettings22.bin"/><Relationship Id="rId2" Type="http://schemas.openxmlformats.org/officeDocument/2006/relationships/hyperlink" Target="https://www.nice.org.uk/guidance/ta476/documents/1" TargetMode="External"/><Relationship Id="rId1" Type="http://schemas.openxmlformats.org/officeDocument/2006/relationships/hyperlink" Target="https://www.nice.org.uk/guidance/ta476/documents/committee-papers" TargetMode="External"/><Relationship Id="rId4"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8" Type="http://schemas.openxmlformats.org/officeDocument/2006/relationships/drawing" Target="../drawings/drawing20.xml"/><Relationship Id="rId3" Type="http://schemas.openxmlformats.org/officeDocument/2006/relationships/hyperlink" Target="https://www.nice.org.uk/guidance/ta531/documents/committee-papers-3" TargetMode="External"/><Relationship Id="rId7" Type="http://schemas.openxmlformats.org/officeDocument/2006/relationships/printerSettings" Target="../printerSettings/printerSettings23.bin"/><Relationship Id="rId2" Type="http://schemas.openxmlformats.org/officeDocument/2006/relationships/hyperlink" Target="https://www.nice.org.uk/guidance/ta531/documents/committee-papers-3" TargetMode="External"/><Relationship Id="rId1" Type="http://schemas.openxmlformats.org/officeDocument/2006/relationships/hyperlink" Target="https://www.nice.org.uk/guidance/ta531/evidence/committee-papers-pdf-4909657501" TargetMode="External"/><Relationship Id="rId6" Type="http://schemas.openxmlformats.org/officeDocument/2006/relationships/hyperlink" Target="https://www.nice.org.uk/guidance/ta531/evidence/committee-papers-pdf-4909657501" TargetMode="External"/><Relationship Id="rId5" Type="http://schemas.openxmlformats.org/officeDocument/2006/relationships/hyperlink" Target="https://www.nice.org.uk/guidance/ta531/evidence/committee-papers-pdf-4909657501" TargetMode="External"/><Relationship Id="rId4" Type="http://schemas.openxmlformats.org/officeDocument/2006/relationships/hyperlink" Target="https://www.nice.org.uk/guidance/ta531/documents/committee-papers-3" TargetMode="External"/></Relationships>
</file>

<file path=xl/worksheets/_rels/sheet24.xml.rels><?xml version="1.0" encoding="UTF-8" standalone="yes"?>
<Relationships xmlns="http://schemas.openxmlformats.org/package/2006/relationships"><Relationship Id="rId3" Type="http://schemas.openxmlformats.org/officeDocument/2006/relationships/printerSettings" Target="../printerSettings/printerSettings24.bin"/><Relationship Id="rId2" Type="http://schemas.openxmlformats.org/officeDocument/2006/relationships/hyperlink" Target="https://www.nice.org.uk/guidance/ta650/documents/1" TargetMode="External"/><Relationship Id="rId1" Type="http://schemas.openxmlformats.org/officeDocument/2006/relationships/hyperlink" Target="https://www.nice.org.uk/guidance/ta650/documents/1-2" TargetMode="External"/><Relationship Id="rId4"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84/documents/final-appraisal-determination-document" TargetMode="Externa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nejm.org/doi/pdf/10.1056/NEJMoa1904059?articleTools=true" TargetMode="External"/><Relationship Id="rId3" Type="http://schemas.openxmlformats.org/officeDocument/2006/relationships/hyperlink" Target="https://www.nice.org.uk/guidance/ta428/documents/committee-papers-3" TargetMode="External"/><Relationship Id="rId7" Type="http://schemas.openxmlformats.org/officeDocument/2006/relationships/hyperlink" Target="https://pubmed.ncbi.nlm.nih.gov/28961848/"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10" Type="http://schemas.openxmlformats.org/officeDocument/2006/relationships/printerSettings" Target="../printerSettings/printerSettings3.bin"/><Relationship Id="rId4" Type="http://schemas.openxmlformats.org/officeDocument/2006/relationships/hyperlink" Target="https://www.nice.org.uk/guidance/ta650/documents/1-2" TargetMode="External"/><Relationship Id="rId9" Type="http://schemas.openxmlformats.org/officeDocument/2006/relationships/hyperlink" Target="https://www.jto.org/action/showPdf?pii=S1556-0864%2821%2902172-9"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5" Type="http://schemas.openxmlformats.org/officeDocument/2006/relationships/hyperlink" Target="https://www.nice.org.uk/guidance/ta268/documents/melanoma-stage-iii-or-iv-ipilimumab-manufacturers-submission-bristol-myerssquibb2" TargetMode="Externa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5" Type="http://schemas.openxmlformats.org/officeDocument/2006/relationships/hyperlink" Target="https://www.nice.org.uk/guidance/ta268/documents/melanoma-stage-iii-or-iv-ipilimumab-manufacturers-submission-bristol-myerssquibb2" TargetMode="Externa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nice.org.uk/guidance/ta259/documents/prostate-cancer-metastatic-castration-resistant-abiraterone-following-cytoxic-therapy-manufacturers-submission2" TargetMode="External"/><Relationship Id="rId1" Type="http://schemas.openxmlformats.org/officeDocument/2006/relationships/hyperlink" Target="https://www.nice.org.uk/guidance/ta259/documents/prostate-cancer-metastatic-castration-resistant-abiraterone-following-cytoxic-therapy-evidence-review-group-report2" TargetMode="External"/><Relationship Id="rId4"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hyperlink" Target="https://www.ncbi.nlm.nih.gov/pmc/articles/PMC3549297/pdf/nihms-431916.pdf" TargetMode="External"/><Relationship Id="rId2" Type="http://schemas.openxmlformats.org/officeDocument/2006/relationships/hyperlink" Target="https://www.nice.org.uk/guidance/ta268/documents/melanoma-stage-iii-or-iv-ipilimumab-evidence-review-group-report3" TargetMode="External"/><Relationship Id="rId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drawing" Target="../drawings/drawing5.xml"/><Relationship Id="rId4"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hyperlink" Target="https://www.nice.org.uk/guidance/ta269/documents/melanoma-braf-v600-mutation-positive-unresectable-metastatic-vemurafenib-roche-products4" TargetMode="External"/><Relationship Id="rId2" Type="http://schemas.openxmlformats.org/officeDocument/2006/relationships/hyperlink" Target="https://www.nejm.org/doi/pdf/10.1056/NEJMoa1103782?articleTools=true" TargetMode="External"/><Relationship Id="rId1" Type="http://schemas.openxmlformats.org/officeDocument/2006/relationships/hyperlink" Target="https://www.nice.org.uk/guidance/ta269/documents/melanoma-braf-v600-mutation-positive-unresectable-metastatic-vemurafenib-roche-products4" TargetMode="External"/><Relationship Id="rId5" Type="http://schemas.openxmlformats.org/officeDocument/2006/relationships/drawing" Target="../drawings/drawing6.xml"/><Relationship Id="rId4"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9A22C9-C11B-45ED-ADCA-FDFAFEA379C6}">
  <sheetPr codeName="Sheet2"/>
  <dimension ref="A1:E10"/>
  <sheetViews>
    <sheetView workbookViewId="0">
      <selection activeCell="A3" sqref="A3"/>
    </sheetView>
  </sheetViews>
  <sheetFormatPr defaultRowHeight="15" x14ac:dyDescent="0.25"/>
  <cols>
    <col min="1" max="1" width="83" customWidth="1"/>
    <col min="2" max="2" width="42.28515625" customWidth="1"/>
    <col min="3" max="3" width="60.28515625" customWidth="1"/>
    <col min="4" max="4" width="42.28515625" customWidth="1"/>
    <col min="5" max="5" width="43.140625" customWidth="1"/>
  </cols>
  <sheetData>
    <row r="1" spans="1:5" x14ac:dyDescent="0.25">
      <c r="A1" t="s">
        <v>0</v>
      </c>
      <c r="B1" t="s">
        <v>1</v>
      </c>
      <c r="C1" t="s">
        <v>0</v>
      </c>
      <c r="D1" t="s">
        <v>2</v>
      </c>
      <c r="E1" t="s">
        <v>3</v>
      </c>
    </row>
    <row r="2" spans="1:5" ht="60" x14ac:dyDescent="0.25">
      <c r="A2" s="9" t="s">
        <v>4</v>
      </c>
      <c r="B2" s="13" t="s">
        <v>5</v>
      </c>
      <c r="C2" s="11" t="s">
        <v>6</v>
      </c>
      <c r="D2" s="10" t="s">
        <v>7</v>
      </c>
      <c r="E2" s="12"/>
    </row>
    <row r="3" spans="1:5" ht="45" x14ac:dyDescent="0.25">
      <c r="A3" s="9" t="s">
        <v>8</v>
      </c>
      <c r="B3" s="10" t="s">
        <v>9</v>
      </c>
      <c r="C3" s="10" t="s">
        <v>10</v>
      </c>
      <c r="D3" s="10" t="s">
        <v>7</v>
      </c>
      <c r="E3" s="12"/>
    </row>
    <row r="4" spans="1:5" ht="60" x14ac:dyDescent="0.25">
      <c r="A4" s="113" t="s">
        <v>11</v>
      </c>
      <c r="B4" s="3" t="s">
        <v>12</v>
      </c>
      <c r="C4" s="4" t="s">
        <v>13</v>
      </c>
      <c r="D4" s="109" t="s">
        <v>7</v>
      </c>
      <c r="E4" s="15" t="s">
        <v>14</v>
      </c>
    </row>
    <row r="5" spans="1:5" x14ac:dyDescent="0.25">
      <c r="A5" s="114"/>
      <c r="B5" s="6"/>
      <c r="C5" s="7" t="s">
        <v>15</v>
      </c>
      <c r="D5" s="110"/>
      <c r="E5" s="8"/>
    </row>
    <row r="6" spans="1:5" ht="60" x14ac:dyDescent="0.25">
      <c r="A6" s="14" t="s">
        <v>16</v>
      </c>
      <c r="B6" s="3" t="s">
        <v>17</v>
      </c>
      <c r="C6" s="3" t="s">
        <v>18</v>
      </c>
      <c r="D6" s="109" t="s">
        <v>7</v>
      </c>
      <c r="E6" s="5"/>
    </row>
    <row r="7" spans="1:5" x14ac:dyDescent="0.25">
      <c r="A7" s="16"/>
      <c r="B7" s="7" t="s">
        <v>19</v>
      </c>
      <c r="C7" s="6" t="s">
        <v>20</v>
      </c>
      <c r="D7" s="110"/>
      <c r="E7" s="8"/>
    </row>
    <row r="8" spans="1:5" ht="75" x14ac:dyDescent="0.25">
      <c r="A8" s="9" t="s">
        <v>21</v>
      </c>
      <c r="B8" s="10" t="s">
        <v>22</v>
      </c>
      <c r="C8" s="10"/>
      <c r="D8" s="18" t="s">
        <v>23</v>
      </c>
      <c r="E8" s="12"/>
    </row>
    <row r="9" spans="1:5" x14ac:dyDescent="0.25">
      <c r="A9" t="s">
        <v>24</v>
      </c>
      <c r="B9" s="4" t="s">
        <v>25</v>
      </c>
      <c r="C9" s="4" t="s">
        <v>26</v>
      </c>
      <c r="D9" s="111" t="s">
        <v>7</v>
      </c>
      <c r="E9" s="5" t="s">
        <v>27</v>
      </c>
    </row>
    <row r="10" spans="1:5" x14ac:dyDescent="0.25">
      <c r="A10" s="16"/>
      <c r="B10" s="6"/>
      <c r="C10" s="7" t="s">
        <v>28</v>
      </c>
      <c r="D10" s="112"/>
      <c r="E10" s="8"/>
    </row>
  </sheetData>
  <autoFilter ref="A1:E10" xr:uid="{7846EDEE-EA29-40F8-988C-C7A1A34FE826}"/>
  <mergeCells count="4">
    <mergeCell ref="D6:D7"/>
    <mergeCell ref="D9:D10"/>
    <mergeCell ref="A4:A5"/>
    <mergeCell ref="D4:D5"/>
  </mergeCells>
  <hyperlinks>
    <hyperlink ref="C2" r:id="rId1" display="https://www.nice.org.uk/guidance/ta396/documents/committee-papers" xr:uid="{1E8F2FFA-575D-40BE-ABB9-B206FBAEB23D}"/>
    <hyperlink ref="C4" r:id="rId2" xr:uid="{136FD13B-8BA3-4EEF-A520-6DB9E55421E6}"/>
    <hyperlink ref="C5" r:id="rId3" xr:uid="{E1A88D6B-867E-42D5-BC1D-8C87CD8F8C28}"/>
    <hyperlink ref="C9" r:id="rId4" display="https://www.nice.org.uk/guidance/ta650/documents/1-2" xr:uid="{3F0C5DEC-5D7A-4F6F-ABBB-BD25C3B1F970}"/>
    <hyperlink ref="C10" r:id="rId5" display="https://www.nice.org.uk/guidance/ta650/documents/1" xr:uid="{4936C2A5-F963-4CA0-B80A-1436B316C13F}"/>
    <hyperlink ref="B7" r:id="rId6" xr:uid="{CE941E7A-B793-4F41-A6FB-6BC8925962F2}"/>
  </hyperlinks>
  <pageMargins left="0.7" right="0.7" top="0.75" bottom="0.75" header="0.3" footer="0.3"/>
  <pageSetup paperSize="9" orientation="portrait" r:id="rId7"/>
  <drawing r:id="rId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FE3996-CABA-4ED2-9B07-F3456F6FE842}">
  <dimension ref="B2:E3"/>
  <sheetViews>
    <sheetView workbookViewId="0">
      <selection activeCell="C4" sqref="C4"/>
    </sheetView>
  </sheetViews>
  <sheetFormatPr defaultRowHeight="15" x14ac:dyDescent="0.25"/>
  <cols>
    <col min="2" max="3" width="19.42578125" customWidth="1"/>
    <col min="4" max="4" width="35.140625" customWidth="1"/>
    <col min="5" max="5" width="83.5703125" customWidth="1"/>
  </cols>
  <sheetData>
    <row r="2" spans="2:5" x14ac:dyDescent="0.25">
      <c r="B2" s="86" t="s">
        <v>192</v>
      </c>
      <c r="C2" s="86" t="s">
        <v>193</v>
      </c>
      <c r="D2" s="86" t="s">
        <v>220</v>
      </c>
      <c r="E2" s="12" t="s">
        <v>195</v>
      </c>
    </row>
    <row r="3" spans="2:5" x14ac:dyDescent="0.25">
      <c r="B3" s="90" t="s">
        <v>201</v>
      </c>
      <c r="C3" s="90" t="s">
        <v>232</v>
      </c>
      <c r="D3" s="90" t="s">
        <v>233</v>
      </c>
      <c r="E3" s="11" t="s">
        <v>41</v>
      </c>
    </row>
  </sheetData>
  <hyperlinks>
    <hyperlink ref="E3" r:id="rId1" xr:uid="{E0A25AE0-CE4E-431D-B156-1D184A04FA03}"/>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19B713-0792-4B31-A7B4-214F17967AEE}">
  <sheetPr>
    <tabColor rgb="FF00B050"/>
  </sheetPr>
  <dimension ref="B2:F47"/>
  <sheetViews>
    <sheetView topLeftCell="D15" workbookViewId="0">
      <selection activeCell="D5" sqref="D5:D6"/>
    </sheetView>
  </sheetViews>
  <sheetFormatPr defaultRowHeight="15" x14ac:dyDescent="0.25"/>
  <cols>
    <col min="2" max="2" width="102.42578125" customWidth="1"/>
    <col min="3" max="3" width="51.5703125" customWidth="1"/>
    <col min="4" max="4" width="65.85546875" customWidth="1"/>
    <col min="5" max="5" width="50.140625" customWidth="1"/>
    <col min="6" max="6" width="24" customWidth="1"/>
  </cols>
  <sheetData>
    <row r="2" spans="2:6" x14ac:dyDescent="0.25">
      <c r="B2" s="86" t="s">
        <v>192</v>
      </c>
      <c r="C2" s="86"/>
      <c r="D2" s="86" t="s">
        <v>220</v>
      </c>
      <c r="E2" s="12" t="s">
        <v>195</v>
      </c>
    </row>
    <row r="3" spans="2:6" ht="44.1" customHeight="1" x14ac:dyDescent="0.25">
      <c r="B3" s="90" t="s">
        <v>201</v>
      </c>
      <c r="C3" s="90" t="s">
        <v>234</v>
      </c>
      <c r="D3" s="91" t="s">
        <v>235</v>
      </c>
      <c r="E3" s="130" t="s">
        <v>236</v>
      </c>
    </row>
    <row r="4" spans="2:6" x14ac:dyDescent="0.25">
      <c r="B4" s="90" t="s">
        <v>201</v>
      </c>
      <c r="C4" s="91" t="s">
        <v>237</v>
      </c>
      <c r="D4" s="86" t="s">
        <v>238</v>
      </c>
      <c r="E4" s="131"/>
    </row>
    <row r="5" spans="2:6" x14ac:dyDescent="0.25">
      <c r="B5" s="94" t="s">
        <v>199</v>
      </c>
      <c r="C5" s="90" t="s">
        <v>239</v>
      </c>
      <c r="D5" s="86" t="s">
        <v>240</v>
      </c>
      <c r="E5" s="132"/>
    </row>
    <row r="6" spans="2:6" x14ac:dyDescent="0.25">
      <c r="B6" s="94" t="s">
        <v>241</v>
      </c>
      <c r="C6" s="94" t="s">
        <v>242</v>
      </c>
      <c r="D6" s="86" t="s">
        <v>243</v>
      </c>
      <c r="E6" s="1" t="s">
        <v>244</v>
      </c>
    </row>
    <row r="7" spans="2:6" x14ac:dyDescent="0.25">
      <c r="E7">
        <f>375/365.25</f>
        <v>1.0266940451745379</v>
      </c>
      <c r="F7">
        <f>E7*12</f>
        <v>12.320328542094455</v>
      </c>
    </row>
    <row r="46" spans="2:2" x14ac:dyDescent="0.25">
      <c r="B46">
        <f>365.25/12</f>
        <v>30.4375</v>
      </c>
    </row>
    <row r="47" spans="2:2" x14ac:dyDescent="0.25">
      <c r="B47">
        <f>B46*36</f>
        <v>1095.75</v>
      </c>
    </row>
  </sheetData>
  <mergeCells count="1">
    <mergeCell ref="E3:E5"/>
  </mergeCells>
  <hyperlinks>
    <hyperlink ref="E3" r:id="rId1" xr:uid="{238F4253-F88A-4B25-8CD8-E4DFEB76D031}"/>
    <hyperlink ref="E6" r:id="rId2" display="https://link.springer.com/article/10.1007/s11523-017-0517-2" xr:uid="{B64C19CB-543F-4344-BDA9-9620E0F0A9F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2067CB-C399-4290-85A1-9878882C7058}">
  <dimension ref="B1:E2"/>
  <sheetViews>
    <sheetView topLeftCell="A15" workbookViewId="0">
      <selection sqref="A1:XFD2"/>
    </sheetView>
  </sheetViews>
  <sheetFormatPr defaultRowHeight="15" x14ac:dyDescent="0.25"/>
  <cols>
    <col min="3" max="3" width="29.85546875" customWidth="1"/>
    <col min="4" max="4" width="30.140625" customWidth="1"/>
    <col min="5" max="5" width="44.28515625" customWidth="1"/>
  </cols>
  <sheetData>
    <row r="1" spans="2:5" x14ac:dyDescent="0.25">
      <c r="B1" s="86" t="s">
        <v>192</v>
      </c>
      <c r="C1" s="86" t="s">
        <v>193</v>
      </c>
      <c r="D1" s="86" t="s">
        <v>194</v>
      </c>
      <c r="E1" s="86" t="s">
        <v>195</v>
      </c>
    </row>
    <row r="2" spans="2:5" x14ac:dyDescent="0.25">
      <c r="B2" s="86" t="s">
        <v>196</v>
      </c>
      <c r="C2" s="86" t="s">
        <v>197</v>
      </c>
      <c r="D2" s="86" t="s">
        <v>245</v>
      </c>
      <c r="E2" s="1" t="s">
        <v>246</v>
      </c>
    </row>
  </sheetData>
  <hyperlinks>
    <hyperlink ref="E2" r:id="rId1" display="https://www.nice.org.uk/guidance/ta319/documents/melanoma-previously-untreated-unresectable-stage-iii-or-iv-ipilimumab-id74-evaluation-report2" xr:uid="{379A88ED-9CA3-4E17-AC29-6EED605B796B}"/>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AF16F-7E8A-4E1B-B73D-BCDE429988DC}">
  <dimension ref="B1:E4"/>
  <sheetViews>
    <sheetView workbookViewId="0">
      <selection activeCell="B1" sqref="B1:E2"/>
    </sheetView>
  </sheetViews>
  <sheetFormatPr defaultRowHeight="15" x14ac:dyDescent="0.25"/>
  <cols>
    <col min="2" max="2" width="41.85546875" customWidth="1"/>
    <col min="3" max="3" width="23.85546875" customWidth="1"/>
  </cols>
  <sheetData>
    <row r="1" spans="2:5" x14ac:dyDescent="0.25">
      <c r="B1" s="86" t="s">
        <v>192</v>
      </c>
      <c r="C1" s="86" t="s">
        <v>193</v>
      </c>
      <c r="D1" s="86" t="s">
        <v>194</v>
      </c>
      <c r="E1" s="86" t="s">
        <v>195</v>
      </c>
    </row>
    <row r="2" spans="2:5" x14ac:dyDescent="0.25">
      <c r="B2" s="86" t="s">
        <v>247</v>
      </c>
      <c r="C2" s="86" t="s">
        <v>197</v>
      </c>
      <c r="D2" s="86" t="s">
        <v>248</v>
      </c>
      <c r="E2" s="1" t="s">
        <v>246</v>
      </c>
    </row>
    <row r="4" spans="2:5" x14ac:dyDescent="0.25">
      <c r="B4" s="10" t="s">
        <v>58</v>
      </c>
      <c r="C4" s="11"/>
    </row>
  </sheetData>
  <hyperlinks>
    <hyperlink ref="E2" r:id="rId1" display="https://www.nice.org.uk/guidance/ta319/documents/melanoma-previously-untreated-unresectable-stage-iii-or-iv-ipilimumab-id74-evaluation-report2" xr:uid="{DE0A6890-9353-4A72-9E16-6212744CA366}"/>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1EDC31-7D78-47DD-84BC-7B53B0DA8EDC}">
  <dimension ref="B1:E3"/>
  <sheetViews>
    <sheetView workbookViewId="0">
      <selection activeCell="B1" sqref="B1:E3"/>
    </sheetView>
  </sheetViews>
  <sheetFormatPr defaultRowHeight="15" x14ac:dyDescent="0.25"/>
  <cols>
    <col min="2" max="2" width="40.85546875" customWidth="1"/>
    <col min="3" max="3" width="22" customWidth="1"/>
    <col min="4" max="4" width="23" customWidth="1"/>
    <col min="5" max="5" width="61.7109375" customWidth="1"/>
  </cols>
  <sheetData>
    <row r="1" spans="2:5" x14ac:dyDescent="0.25">
      <c r="B1" s="86" t="s">
        <v>192</v>
      </c>
      <c r="C1" s="86" t="s">
        <v>193</v>
      </c>
      <c r="D1" s="86" t="s">
        <v>194</v>
      </c>
      <c r="E1" s="86" t="s">
        <v>195</v>
      </c>
    </row>
    <row r="2" spans="2:5" x14ac:dyDescent="0.25">
      <c r="B2" s="86" t="s">
        <v>247</v>
      </c>
      <c r="C2" s="86" t="s">
        <v>197</v>
      </c>
      <c r="D2" s="86" t="s">
        <v>249</v>
      </c>
      <c r="E2" s="11" t="s">
        <v>250</v>
      </c>
    </row>
    <row r="3" spans="2:5" x14ac:dyDescent="0.25">
      <c r="B3" s="95" t="s">
        <v>251</v>
      </c>
    </row>
  </sheetData>
  <hyperlinks>
    <hyperlink ref="E2" r:id="rId1" xr:uid="{EC01F8B0-63F1-4196-B99C-0BB7ADF65930}"/>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FF1A6-626B-4B23-BC5F-DE9C64031946}">
  <dimension ref="B2:C4"/>
  <sheetViews>
    <sheetView workbookViewId="0">
      <selection activeCell="B25" sqref="B25"/>
    </sheetView>
  </sheetViews>
  <sheetFormatPr defaultRowHeight="15" x14ac:dyDescent="0.25"/>
  <cols>
    <col min="2" max="2" width="61.28515625" customWidth="1"/>
    <col min="3" max="3" width="34.7109375" customWidth="1"/>
  </cols>
  <sheetData>
    <row r="2" spans="2:3" x14ac:dyDescent="0.25">
      <c r="B2" s="86" t="s">
        <v>252</v>
      </c>
      <c r="C2" s="86" t="s">
        <v>195</v>
      </c>
    </row>
    <row r="3" spans="2:3" x14ac:dyDescent="0.25">
      <c r="B3" s="86" t="s">
        <v>253</v>
      </c>
      <c r="C3" s="87" t="s">
        <v>6</v>
      </c>
    </row>
    <row r="4" spans="2:3" x14ac:dyDescent="0.25">
      <c r="B4" s="86" t="s">
        <v>254</v>
      </c>
      <c r="C4" s="87" t="s">
        <v>255</v>
      </c>
    </row>
  </sheetData>
  <hyperlinks>
    <hyperlink ref="C3" r:id="rId1" display="https://www.nice.org.uk/guidance/ta374/documents/committee-papers" xr:uid="{E1B02A9F-48BE-42C0-ABF1-B7831DD36FF5}"/>
    <hyperlink ref="C4" r:id="rId2" display="https://www.nice.org.uk/guidance/ta374/documents/final-appraisal-determination-document-2" xr:uid="{1C99BAF9-6097-4808-9D5A-5E8B50CE98FA}"/>
  </hyperlinks>
  <pageMargins left="0.7" right="0.7" top="0.75" bottom="0.75" header="0.3" footer="0.3"/>
  <pageSetup paperSize="9" orientation="portrait"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8531F-7445-4BCA-BA1E-DF35A594608E}">
  <dimension ref="B2:E44"/>
  <sheetViews>
    <sheetView workbookViewId="0">
      <selection activeCell="B2" sqref="B2:E4"/>
    </sheetView>
  </sheetViews>
  <sheetFormatPr defaultRowHeight="15" x14ac:dyDescent="0.25"/>
  <cols>
    <col min="2" max="2" width="105.28515625" customWidth="1"/>
    <col min="3" max="3" width="28" customWidth="1"/>
    <col min="4" max="4" width="25" customWidth="1"/>
  </cols>
  <sheetData>
    <row r="2" spans="2:5" x14ac:dyDescent="0.25">
      <c r="B2" s="86" t="s">
        <v>192</v>
      </c>
      <c r="C2" s="86" t="s">
        <v>193</v>
      </c>
      <c r="D2" s="86" t="s">
        <v>194</v>
      </c>
      <c r="E2" s="86" t="s">
        <v>195</v>
      </c>
    </row>
    <row r="3" spans="2:5" x14ac:dyDescent="0.25">
      <c r="B3" s="86" t="s">
        <v>247</v>
      </c>
      <c r="C3" s="86" t="s">
        <v>256</v>
      </c>
      <c r="D3" s="86" t="s">
        <v>257</v>
      </c>
      <c r="E3" s="87" t="s">
        <v>255</v>
      </c>
    </row>
    <row r="4" spans="2:5" x14ac:dyDescent="0.25">
      <c r="B4" s="86" t="s">
        <v>258</v>
      </c>
      <c r="C4" s="86" t="s">
        <v>259</v>
      </c>
      <c r="D4" s="86" t="s">
        <v>260</v>
      </c>
      <c r="E4" s="87" t="s">
        <v>65</v>
      </c>
    </row>
    <row r="5" spans="2:5" x14ac:dyDescent="0.25">
      <c r="C5" s="7"/>
    </row>
    <row r="25" spans="2:2" ht="60" x14ac:dyDescent="0.25">
      <c r="B25" s="13" t="s">
        <v>61</v>
      </c>
    </row>
    <row r="44" spans="3:3" x14ac:dyDescent="0.25">
      <c r="C44" s="96" t="s">
        <v>64</v>
      </c>
    </row>
  </sheetData>
  <hyperlinks>
    <hyperlink ref="E4" r:id="rId1" xr:uid="{11DB6CFF-D911-4653-B562-A2312C6CE13E}"/>
    <hyperlink ref="E3" r:id="rId2" display="https://www.nice.org.uk/guidance/ta384/documents/final-appraisal-determination-document" xr:uid="{9D04FF9C-37DE-4928-8ECD-69B20F70E547}"/>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628E13-8A29-45CA-BB81-D83615A30605}">
  <sheetPr>
    <tabColor rgb="FF00B050"/>
  </sheetPr>
  <dimension ref="B2:F72"/>
  <sheetViews>
    <sheetView topLeftCell="A57" workbookViewId="0">
      <selection activeCell="B67" sqref="B67:D72"/>
    </sheetView>
  </sheetViews>
  <sheetFormatPr defaultRowHeight="15" x14ac:dyDescent="0.25"/>
  <cols>
    <col min="2" max="3" width="27.28515625" customWidth="1"/>
    <col min="4" max="4" width="51.7109375" customWidth="1"/>
    <col min="5" max="5" width="41" customWidth="1"/>
    <col min="6" max="6" width="19.5703125" customWidth="1"/>
  </cols>
  <sheetData>
    <row r="2" spans="3:6" x14ac:dyDescent="0.25">
      <c r="C2" s="86" t="s">
        <v>192</v>
      </c>
      <c r="D2" s="86" t="s">
        <v>193</v>
      </c>
      <c r="E2" s="86" t="s">
        <v>194</v>
      </c>
      <c r="F2" s="86" t="s">
        <v>195</v>
      </c>
    </row>
    <row r="3" spans="3:6" x14ac:dyDescent="0.25">
      <c r="C3" s="86" t="s">
        <v>199</v>
      </c>
      <c r="D3" s="86" t="s">
        <v>261</v>
      </c>
      <c r="E3" s="86" t="s">
        <v>262</v>
      </c>
      <c r="F3" s="11" t="s">
        <v>6</v>
      </c>
    </row>
    <row r="4" spans="3:6" x14ac:dyDescent="0.25">
      <c r="C4" s="86" t="s">
        <v>263</v>
      </c>
      <c r="D4" s="86" t="s">
        <v>264</v>
      </c>
      <c r="E4" s="86" t="s">
        <v>265</v>
      </c>
      <c r="F4" s="11" t="s">
        <v>6</v>
      </c>
    </row>
    <row r="5" spans="3:6" x14ac:dyDescent="0.25">
      <c r="C5" s="86" t="s">
        <v>263</v>
      </c>
      <c r="D5" s="86" t="s">
        <v>266</v>
      </c>
      <c r="E5" s="86" t="s">
        <v>267</v>
      </c>
      <c r="F5" s="11" t="s">
        <v>6</v>
      </c>
    </row>
    <row r="6" spans="3:6" x14ac:dyDescent="0.25">
      <c r="C6" s="86" t="s">
        <v>268</v>
      </c>
      <c r="D6" s="86" t="s">
        <v>269</v>
      </c>
      <c r="E6" s="86" t="s">
        <v>270</v>
      </c>
      <c r="F6" s="1" t="s">
        <v>271</v>
      </c>
    </row>
    <row r="67" spans="2:5" x14ac:dyDescent="0.25">
      <c r="B67" s="86"/>
      <c r="C67" s="86" t="s">
        <v>213</v>
      </c>
      <c r="D67" s="86" t="s">
        <v>272</v>
      </c>
      <c r="E67" s="86" t="s">
        <v>273</v>
      </c>
    </row>
    <row r="68" spans="2:5" x14ac:dyDescent="0.25">
      <c r="B68" s="86" t="s">
        <v>274</v>
      </c>
      <c r="C68" s="86"/>
      <c r="D68" s="86">
        <v>352</v>
      </c>
      <c r="E68" s="86">
        <v>211</v>
      </c>
    </row>
    <row r="69" spans="2:5" x14ac:dyDescent="0.25">
      <c r="B69" s="86" t="s">
        <v>217</v>
      </c>
      <c r="C69" s="104">
        <f>(D69*D72)+(E69*E72)</f>
        <v>54.474777975133222</v>
      </c>
      <c r="D69" s="86">
        <v>54.1</v>
      </c>
      <c r="E69" s="86">
        <v>55.1</v>
      </c>
    </row>
    <row r="70" spans="2:5" x14ac:dyDescent="0.25">
      <c r="B70" s="86" t="s">
        <v>218</v>
      </c>
      <c r="C70" s="104">
        <f>(D70*D72)+(E70*E72)</f>
        <v>0.56660746003552398</v>
      </c>
      <c r="D70" s="86">
        <f>208/D68</f>
        <v>0.59090909090909094</v>
      </c>
      <c r="E70" s="86">
        <f>111/E68</f>
        <v>0.52606635071090047</v>
      </c>
    </row>
    <row r="71" spans="2:5" x14ac:dyDescent="0.25">
      <c r="B71" s="86" t="s">
        <v>213</v>
      </c>
      <c r="C71" s="86"/>
      <c r="D71" s="86"/>
      <c r="E71" s="86"/>
    </row>
    <row r="72" spans="2:5" x14ac:dyDescent="0.25">
      <c r="B72" s="86" t="s">
        <v>219</v>
      </c>
      <c r="C72" s="86"/>
      <c r="D72" s="86">
        <f>D68/SUM($D$68:$E$68)</f>
        <v>0.62522202486678513</v>
      </c>
      <c r="E72" s="86">
        <f>E68/SUM($D$68:$E$68)</f>
        <v>0.37477797513321492</v>
      </c>
    </row>
  </sheetData>
  <hyperlinks>
    <hyperlink ref="F3" r:id="rId1" display="https://www.nice.org.uk/guidance/ta396/documents/committee-papers" xr:uid="{05D1EEA7-273E-4E5A-84CE-9875F7A96422}"/>
    <hyperlink ref="F4" r:id="rId2" display="https://www.nice.org.uk/guidance/ta396/documents/committee-papers" xr:uid="{F1004F4F-FE94-4CDC-BF76-0E3EDF5F8E1E}"/>
    <hyperlink ref="F5" r:id="rId3" display="https://www.nice.org.uk/guidance/ta396/documents/committee-papers" xr:uid="{F8FA4089-541D-4F84-9AEB-769BAB795F3E}"/>
    <hyperlink ref="F6" r:id="rId4" display="https://www.nejm.org/doi/full/10.1056/NEJMoa1904059" xr:uid="{94FD230B-D6F1-42BC-A66E-F3C5893B9C3D}"/>
  </hyperlinks>
  <pageMargins left="0.7" right="0.7" top="0.75" bottom="0.75" header="0.3" footer="0.3"/>
  <pageSetup paperSize="9" orientation="portrait" r:id="rId5"/>
  <drawing r:id="rId6"/>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9E846-E75D-44C9-99E5-788D50C75F22}">
  <dimension ref="C1:F3"/>
  <sheetViews>
    <sheetView workbookViewId="0">
      <selection activeCell="D3" sqref="D3"/>
    </sheetView>
  </sheetViews>
  <sheetFormatPr defaultRowHeight="15" x14ac:dyDescent="0.25"/>
  <cols>
    <col min="3" max="3" width="79" customWidth="1"/>
    <col min="4" max="4" width="26.140625" customWidth="1"/>
  </cols>
  <sheetData>
    <row r="1" spans="3:6" x14ac:dyDescent="0.25">
      <c r="C1" s="86" t="s">
        <v>192</v>
      </c>
      <c r="D1" s="86" t="s">
        <v>193</v>
      </c>
      <c r="E1" s="86" t="s">
        <v>194</v>
      </c>
      <c r="F1" s="86" t="s">
        <v>195</v>
      </c>
    </row>
    <row r="2" spans="3:6" x14ac:dyDescent="0.25">
      <c r="C2" s="86" t="s">
        <v>275</v>
      </c>
      <c r="D2" s="86" t="s">
        <v>276</v>
      </c>
      <c r="E2" s="86" t="s">
        <v>277</v>
      </c>
      <c r="F2" s="1" t="s">
        <v>278</v>
      </c>
    </row>
    <row r="3" spans="3:6" x14ac:dyDescent="0.25">
      <c r="C3" s="97" t="s">
        <v>67</v>
      </c>
    </row>
  </sheetData>
  <hyperlinks>
    <hyperlink ref="F2" r:id="rId1" display="https://www.nice.org.uk/guidance/ta400/documents/committee-papers-2" xr:uid="{053F3CF0-A27B-4E50-97AF-688A32887259}"/>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4BB30-FEB9-482B-90B6-2463F37FA46A}">
  <dimension ref="B2:E5"/>
  <sheetViews>
    <sheetView workbookViewId="0">
      <selection activeCell="B2" sqref="B2:E3"/>
    </sheetView>
  </sheetViews>
  <sheetFormatPr defaultRowHeight="15" x14ac:dyDescent="0.25"/>
  <cols>
    <col min="2" max="2" width="22.42578125" customWidth="1"/>
    <col min="3" max="3" width="19.5703125" bestFit="1" customWidth="1"/>
    <col min="4" max="4" width="19.42578125" bestFit="1" customWidth="1"/>
  </cols>
  <sheetData>
    <row r="2" spans="2:5" x14ac:dyDescent="0.25">
      <c r="B2" s="86" t="s">
        <v>192</v>
      </c>
      <c r="C2" s="86" t="s">
        <v>193</v>
      </c>
      <c r="D2" s="86" t="s">
        <v>194</v>
      </c>
      <c r="E2" s="86" t="s">
        <v>195</v>
      </c>
    </row>
    <row r="3" spans="2:5" x14ac:dyDescent="0.25">
      <c r="B3" s="86" t="s">
        <v>275</v>
      </c>
      <c r="C3" s="86" t="s">
        <v>197</v>
      </c>
      <c r="D3" s="86" t="s">
        <v>279</v>
      </c>
      <c r="E3" s="1" t="s">
        <v>6</v>
      </c>
    </row>
    <row r="4" spans="2:5" x14ac:dyDescent="0.25">
      <c r="E4">
        <v>204</v>
      </c>
    </row>
    <row r="5" spans="2:5" x14ac:dyDescent="0.25">
      <c r="B5" s="95" t="s">
        <v>280</v>
      </c>
    </row>
  </sheetData>
  <hyperlinks>
    <hyperlink ref="E3" r:id="rId1" display="https://www.nice.org.uk/guidance/ta414/documents/committee-papers" xr:uid="{24F6F53C-2F6C-49F8-86B8-B21AC5265EF4}"/>
  </hyperlinks>
  <pageMargins left="0.7" right="0.7" top="0.75" bottom="0.75" header="0.3" footer="0.3"/>
  <pageSetup paperSize="9"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6EDEE-EA29-40F8-988C-C7A1A34FE826}">
  <sheetPr codeName="Sheet1"/>
  <dimension ref="A1:G24"/>
  <sheetViews>
    <sheetView topLeftCell="A7" workbookViewId="0">
      <selection activeCell="A15" sqref="A15"/>
    </sheetView>
  </sheetViews>
  <sheetFormatPr defaultRowHeight="15" x14ac:dyDescent="0.25"/>
  <cols>
    <col min="2" max="2" width="100.42578125" customWidth="1"/>
    <col min="3" max="3" width="55.42578125" hidden="1" customWidth="1"/>
    <col min="4" max="4" width="60.28515625" hidden="1" customWidth="1"/>
    <col min="5" max="5" width="60.28515625" customWidth="1"/>
    <col min="6" max="6" width="42.28515625" customWidth="1"/>
    <col min="7" max="7" width="43.140625" customWidth="1"/>
  </cols>
  <sheetData>
    <row r="1" spans="1:7" x14ac:dyDescent="0.25">
      <c r="A1" t="s">
        <v>29</v>
      </c>
      <c r="B1" t="s">
        <v>0</v>
      </c>
      <c r="C1" t="s">
        <v>30</v>
      </c>
      <c r="D1" t="s">
        <v>0</v>
      </c>
      <c r="F1" t="s">
        <v>2</v>
      </c>
      <c r="G1" t="s">
        <v>3</v>
      </c>
    </row>
    <row r="2" spans="1:7" x14ac:dyDescent="0.25">
      <c r="A2" s="115" t="s">
        <v>31</v>
      </c>
      <c r="B2" s="118" t="s">
        <v>32</v>
      </c>
      <c r="C2" s="3" t="s">
        <v>33</v>
      </c>
      <c r="D2" s="4" t="s">
        <v>34</v>
      </c>
      <c r="E2" s="4"/>
      <c r="F2" s="116" t="s">
        <v>35</v>
      </c>
      <c r="G2" s="5"/>
    </row>
    <row r="3" spans="1:7" ht="48" customHeight="1" x14ac:dyDescent="0.25">
      <c r="A3" s="115"/>
      <c r="B3" s="119"/>
      <c r="C3" s="6" t="s">
        <v>36</v>
      </c>
      <c r="D3" s="7" t="s">
        <v>37</v>
      </c>
      <c r="E3" s="7"/>
      <c r="F3" s="117"/>
      <c r="G3" s="8"/>
    </row>
    <row r="4" spans="1:7" ht="75" x14ac:dyDescent="0.25">
      <c r="A4" s="100" t="s">
        <v>38</v>
      </c>
      <c r="B4" s="9" t="s">
        <v>39</v>
      </c>
      <c r="C4" s="10" t="s">
        <v>40</v>
      </c>
      <c r="D4" s="11" t="s">
        <v>41</v>
      </c>
      <c r="E4" s="11"/>
      <c r="F4" s="83" t="s">
        <v>35</v>
      </c>
      <c r="G4" s="12"/>
    </row>
    <row r="5" spans="1:7" ht="56.45" customHeight="1" x14ac:dyDescent="0.25">
      <c r="A5" s="115" t="s">
        <v>42</v>
      </c>
      <c r="B5" s="118" t="s">
        <v>43</v>
      </c>
      <c r="C5" s="120" t="s">
        <v>44</v>
      </c>
      <c r="D5" s="4" t="s">
        <v>45</v>
      </c>
      <c r="E5" s="4"/>
      <c r="F5" s="116" t="s">
        <v>35</v>
      </c>
      <c r="G5" s="5"/>
    </row>
    <row r="6" spans="1:7" x14ac:dyDescent="0.25">
      <c r="A6" s="115"/>
      <c r="B6" s="119"/>
      <c r="C6" s="121"/>
      <c r="D6" s="7" t="s">
        <v>46</v>
      </c>
      <c r="E6" s="7"/>
      <c r="F6" s="117"/>
      <c r="G6" s="8"/>
    </row>
    <row r="7" spans="1:7" ht="60" x14ac:dyDescent="0.25">
      <c r="A7" s="100" t="s">
        <v>47</v>
      </c>
      <c r="B7" s="9" t="s">
        <v>4</v>
      </c>
      <c r="C7" s="13" t="s">
        <v>5</v>
      </c>
      <c r="D7" s="11" t="s">
        <v>6</v>
      </c>
      <c r="E7" s="11"/>
      <c r="F7" s="83" t="s">
        <v>7</v>
      </c>
      <c r="G7" s="12"/>
    </row>
    <row r="8" spans="1:7" hidden="1" x14ac:dyDescent="0.25">
      <c r="A8" s="100"/>
      <c r="B8" s="9" t="s">
        <v>48</v>
      </c>
      <c r="C8" s="10" t="s">
        <v>49</v>
      </c>
      <c r="D8" s="10"/>
      <c r="E8" s="10"/>
      <c r="F8" s="83" t="s">
        <v>35</v>
      </c>
      <c r="G8" s="12"/>
    </row>
    <row r="9" spans="1:7" ht="30" x14ac:dyDescent="0.25">
      <c r="A9" s="100" t="s">
        <v>50</v>
      </c>
      <c r="B9" s="9" t="s">
        <v>8</v>
      </c>
      <c r="C9" s="10" t="s">
        <v>9</v>
      </c>
      <c r="D9" s="10"/>
      <c r="E9" s="10"/>
      <c r="F9" s="83" t="s">
        <v>7</v>
      </c>
      <c r="G9" s="12"/>
    </row>
    <row r="10" spans="1:7" ht="60" x14ac:dyDescent="0.25">
      <c r="A10" s="122" t="s">
        <v>51</v>
      </c>
      <c r="B10" s="113" t="s">
        <v>11</v>
      </c>
      <c r="C10" s="3" t="s">
        <v>12</v>
      </c>
      <c r="D10" s="4" t="s">
        <v>13</v>
      </c>
      <c r="E10" s="4"/>
      <c r="F10" s="116" t="s">
        <v>7</v>
      </c>
      <c r="G10" s="15" t="s">
        <v>14</v>
      </c>
    </row>
    <row r="11" spans="1:7" x14ac:dyDescent="0.25">
      <c r="A11" s="123"/>
      <c r="B11" s="114"/>
      <c r="C11" s="6"/>
      <c r="D11" s="7" t="s">
        <v>15</v>
      </c>
      <c r="E11" s="7"/>
      <c r="F11" s="117"/>
      <c r="G11" s="8"/>
    </row>
    <row r="12" spans="1:7" ht="60" x14ac:dyDescent="0.25">
      <c r="A12" s="122" t="s">
        <v>52</v>
      </c>
      <c r="B12" s="14" t="s">
        <v>16</v>
      </c>
      <c r="C12" s="4" t="s">
        <v>17</v>
      </c>
      <c r="D12" s="3" t="s">
        <v>18</v>
      </c>
      <c r="E12" s="3"/>
      <c r="F12" s="116" t="s">
        <v>7</v>
      </c>
      <c r="G12" s="5"/>
    </row>
    <row r="13" spans="1:7" x14ac:dyDescent="0.25">
      <c r="A13" s="123"/>
      <c r="B13" s="16"/>
      <c r="C13" s="7" t="s">
        <v>19</v>
      </c>
      <c r="D13" s="6" t="s">
        <v>20</v>
      </c>
      <c r="E13" s="6"/>
      <c r="F13" s="117"/>
      <c r="G13" s="8"/>
    </row>
    <row r="14" spans="1:7" ht="75" x14ac:dyDescent="0.25">
      <c r="A14" s="100" t="s">
        <v>53</v>
      </c>
      <c r="B14" s="9" t="s">
        <v>54</v>
      </c>
      <c r="C14" s="11" t="s">
        <v>55</v>
      </c>
      <c r="D14" s="10" t="s">
        <v>56</v>
      </c>
      <c r="E14" s="10"/>
      <c r="F14" s="84" t="s">
        <v>35</v>
      </c>
      <c r="G14" s="12"/>
    </row>
    <row r="15" spans="1:7" ht="75" x14ac:dyDescent="0.25">
      <c r="A15" s="100"/>
      <c r="B15" s="78" t="s">
        <v>21</v>
      </c>
      <c r="C15" s="10" t="s">
        <v>22</v>
      </c>
      <c r="D15" s="10"/>
      <c r="E15" s="10"/>
      <c r="F15" s="84" t="s">
        <v>23</v>
      </c>
      <c r="G15" s="12"/>
    </row>
    <row r="16" spans="1:7" ht="45" x14ac:dyDescent="0.25">
      <c r="A16" s="100"/>
      <c r="B16" s="78" t="s">
        <v>57</v>
      </c>
      <c r="C16" s="10" t="s">
        <v>58</v>
      </c>
      <c r="D16" s="10" t="s">
        <v>59</v>
      </c>
      <c r="E16" s="10"/>
      <c r="F16" s="84" t="s">
        <v>35</v>
      </c>
      <c r="G16" s="12"/>
    </row>
    <row r="17" spans="1:7" ht="105" x14ac:dyDescent="0.25">
      <c r="A17" s="100"/>
      <c r="B17" s="9" t="s">
        <v>60</v>
      </c>
      <c r="C17" s="13" t="s">
        <v>61</v>
      </c>
      <c r="D17" s="11" t="s">
        <v>62</v>
      </c>
      <c r="E17" s="11"/>
      <c r="F17" s="84" t="s">
        <v>35</v>
      </c>
      <c r="G17" s="12"/>
    </row>
    <row r="18" spans="1:7" ht="105" x14ac:dyDescent="0.25">
      <c r="A18" s="100"/>
      <c r="B18" s="9" t="s">
        <v>63</v>
      </c>
      <c r="C18" s="13" t="s">
        <v>64</v>
      </c>
      <c r="D18" s="11" t="s">
        <v>65</v>
      </c>
      <c r="E18" s="11"/>
      <c r="F18" s="84" t="s">
        <v>35</v>
      </c>
      <c r="G18" s="12"/>
    </row>
    <row r="19" spans="1:7" ht="75" x14ac:dyDescent="0.25">
      <c r="A19" s="100"/>
      <c r="B19" s="78" t="s">
        <v>66</v>
      </c>
      <c r="C19" s="10" t="s">
        <v>67</v>
      </c>
      <c r="D19" s="10" t="s">
        <v>68</v>
      </c>
      <c r="E19" s="10"/>
      <c r="F19" s="84" t="s">
        <v>35</v>
      </c>
      <c r="G19" s="12"/>
    </row>
    <row r="20" spans="1:7" ht="45" x14ac:dyDescent="0.25">
      <c r="A20" s="100"/>
      <c r="B20" s="78" t="s">
        <v>69</v>
      </c>
      <c r="C20" s="10" t="s">
        <v>70</v>
      </c>
      <c r="D20" s="10" t="s">
        <v>71</v>
      </c>
      <c r="E20" s="10"/>
      <c r="F20" s="84" t="s">
        <v>35</v>
      </c>
      <c r="G20" s="12"/>
    </row>
    <row r="21" spans="1:7" hidden="1" x14ac:dyDescent="0.25">
      <c r="B21" s="79" t="s">
        <v>24</v>
      </c>
      <c r="C21" s="4" t="s">
        <v>25</v>
      </c>
      <c r="D21" s="4" t="s">
        <v>26</v>
      </c>
      <c r="E21" s="4"/>
      <c r="F21" s="85" t="s">
        <v>7</v>
      </c>
      <c r="G21" s="5" t="s">
        <v>27</v>
      </c>
    </row>
    <row r="22" spans="1:7" hidden="1" x14ac:dyDescent="0.25">
      <c r="B22" s="16"/>
      <c r="C22" s="6"/>
      <c r="D22" s="7" t="s">
        <v>28</v>
      </c>
      <c r="E22" s="7"/>
      <c r="F22" s="106"/>
      <c r="G22" s="8"/>
    </row>
    <row r="24" spans="1:7" x14ac:dyDescent="0.25">
      <c r="B24" t="s">
        <v>72</v>
      </c>
    </row>
  </sheetData>
  <autoFilter ref="B1:G22" xr:uid="{7846EDEE-EA29-40F8-988C-C7A1A34FE826}"/>
  <mergeCells count="12">
    <mergeCell ref="A2:A3"/>
    <mergeCell ref="F10:F11"/>
    <mergeCell ref="F12:F13"/>
    <mergeCell ref="B10:B11"/>
    <mergeCell ref="B2:B3"/>
    <mergeCell ref="F2:F3"/>
    <mergeCell ref="B5:B6"/>
    <mergeCell ref="F5:F6"/>
    <mergeCell ref="C5:C6"/>
    <mergeCell ref="A5:A6"/>
    <mergeCell ref="A10:A11"/>
    <mergeCell ref="A12:A13"/>
  </mergeCells>
  <hyperlinks>
    <hyperlink ref="D2" r:id="rId1" xr:uid="{B0852248-3175-434A-9715-0FD34334BD33}"/>
    <hyperlink ref="D4" r:id="rId2" xr:uid="{162A42F7-5EEE-4535-A305-E37920382F94}"/>
    <hyperlink ref="D3" r:id="rId3" xr:uid="{66F2B825-2D6B-45A8-B32B-A513B741FA21}"/>
    <hyperlink ref="D6" r:id="rId4" xr:uid="{A29CC1EB-A109-4EF7-99E6-C12A7FFA6013}"/>
    <hyperlink ref="D5" r:id="rId5" xr:uid="{F21F8A8B-CA9A-4853-B35D-1C672C2BB9CF}"/>
    <hyperlink ref="D7" r:id="rId6" display="https://www.nice.org.uk/guidance/ta396/documents/committee-papers" xr:uid="{CBEB62B5-B6F9-4C1B-8612-07F6046159C0}"/>
    <hyperlink ref="D10" r:id="rId7" xr:uid="{40C208DC-E010-47FD-B641-8AB70D569DF0}"/>
    <hyperlink ref="D11" r:id="rId8" xr:uid="{D43B8685-58BB-423D-BA6B-9BD7B2D1EDB6}"/>
    <hyperlink ref="D21" r:id="rId9" display="https://www.nice.org.uk/guidance/ta650/documents/1-2" xr:uid="{E61A8C76-D317-4208-9648-D342D85C4274}"/>
    <hyperlink ref="D22" r:id="rId10" display="https://www.nice.org.uk/guidance/ta650/documents/1" xr:uid="{61385202-968E-4003-956B-24002294950E}"/>
    <hyperlink ref="C13" r:id="rId11" xr:uid="{0000A93E-CC82-43CC-AD01-91637DB8B24C}"/>
    <hyperlink ref="D17" r:id="rId12" xr:uid="{7F2EAA36-ABAD-4FCF-9235-219EAC71E666}"/>
    <hyperlink ref="D18" r:id="rId13" xr:uid="{FEEF0C0F-373A-47D2-9E7B-EBFEBA16C4B2}"/>
    <hyperlink ref="C12" r:id="rId14" xr:uid="{2FD08615-98AE-4D33-A977-52064B2FDC85}"/>
    <hyperlink ref="C14" r:id="rId15" xr:uid="{B35DD193-25F9-4B2C-BCAE-B4E864C3E837}"/>
  </hyperlinks>
  <pageMargins left="0.7" right="0.7" top="0.75" bottom="0.75" header="0.3" footer="0.3"/>
  <pageSetup paperSize="9" orientation="portrait" r:id="rId16"/>
  <drawing r:id="rId17"/>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7B687E-60DB-4B28-9A6E-2DCDC8297835}">
  <dimension ref="C2:F4"/>
  <sheetViews>
    <sheetView workbookViewId="0">
      <selection activeCell="C2" sqref="C2:F4"/>
    </sheetView>
  </sheetViews>
  <sheetFormatPr defaultRowHeight="15" x14ac:dyDescent="0.25"/>
  <cols>
    <col min="3" max="3" width="53" customWidth="1"/>
    <col min="4" max="4" width="22.28515625" customWidth="1"/>
    <col min="5" max="5" width="19.85546875" customWidth="1"/>
  </cols>
  <sheetData>
    <row r="2" spans="3:6" x14ac:dyDescent="0.25">
      <c r="C2" s="86" t="s">
        <v>192</v>
      </c>
      <c r="D2" s="86" t="s">
        <v>193</v>
      </c>
      <c r="E2" s="86" t="s">
        <v>194</v>
      </c>
      <c r="F2" s="86" t="s">
        <v>195</v>
      </c>
    </row>
    <row r="3" spans="3:6" x14ac:dyDescent="0.25">
      <c r="C3" s="86" t="s">
        <v>275</v>
      </c>
      <c r="D3" s="86" t="s">
        <v>197</v>
      </c>
      <c r="E3" s="86" t="s">
        <v>281</v>
      </c>
      <c r="F3" s="87" t="s">
        <v>71</v>
      </c>
    </row>
    <row r="4" spans="3:6" x14ac:dyDescent="0.25">
      <c r="C4" s="98" t="s">
        <v>282</v>
      </c>
    </row>
  </sheetData>
  <hyperlinks>
    <hyperlink ref="F3" r:id="rId1" xr:uid="{528ABE10-98E4-4C3F-B136-EBEBE15A2FF6}"/>
  </hyperlinks>
  <pageMargins left="0.7" right="0.7" top="0.75" bottom="0.75" header="0.3" footer="0.3"/>
  <pageSetup paperSize="9"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DC7E2-E732-4895-AB43-ACC4ED042769}">
  <sheetPr>
    <tabColor rgb="FF00B050"/>
  </sheetPr>
  <dimension ref="C2:F58"/>
  <sheetViews>
    <sheetView topLeftCell="A43" workbookViewId="0">
      <selection activeCell="C56" sqref="C56:D58"/>
    </sheetView>
  </sheetViews>
  <sheetFormatPr defaultRowHeight="15" x14ac:dyDescent="0.25"/>
  <cols>
    <col min="3" max="5" width="61" customWidth="1"/>
  </cols>
  <sheetData>
    <row r="2" spans="3:6" x14ac:dyDescent="0.25">
      <c r="C2" s="86" t="s">
        <v>192</v>
      </c>
      <c r="D2" s="86" t="s">
        <v>193</v>
      </c>
      <c r="E2" s="86" t="s">
        <v>194</v>
      </c>
      <c r="F2" s="86" t="s">
        <v>195</v>
      </c>
    </row>
    <row r="3" spans="3:6" x14ac:dyDescent="0.25">
      <c r="C3" s="86" t="s">
        <v>275</v>
      </c>
      <c r="D3" s="86" t="s">
        <v>197</v>
      </c>
      <c r="E3" s="86" t="s">
        <v>283</v>
      </c>
      <c r="F3" s="4" t="s">
        <v>13</v>
      </c>
    </row>
    <row r="4" spans="3:6" x14ac:dyDescent="0.25">
      <c r="C4" s="86" t="s">
        <v>284</v>
      </c>
      <c r="D4" s="86" t="s">
        <v>285</v>
      </c>
      <c r="E4" s="86" t="s">
        <v>286</v>
      </c>
      <c r="F4" s="1" t="s">
        <v>287</v>
      </c>
    </row>
    <row r="5" spans="3:6" x14ac:dyDescent="0.25">
      <c r="C5" s="86" t="s">
        <v>284</v>
      </c>
      <c r="D5" s="86" t="s">
        <v>288</v>
      </c>
      <c r="E5" s="86" t="s">
        <v>289</v>
      </c>
      <c r="F5" s="1" t="s">
        <v>290</v>
      </c>
    </row>
    <row r="6" spans="3:6" x14ac:dyDescent="0.25">
      <c r="C6" s="86" t="s">
        <v>284</v>
      </c>
      <c r="D6" s="86" t="s">
        <v>242</v>
      </c>
      <c r="E6" s="86" t="s">
        <v>243</v>
      </c>
      <c r="F6" s="1" t="s">
        <v>290</v>
      </c>
    </row>
    <row r="56" spans="3:4" x14ac:dyDescent="0.25">
      <c r="C56" s="86"/>
      <c r="D56" s="86" t="s">
        <v>291</v>
      </c>
    </row>
    <row r="57" spans="3:4" x14ac:dyDescent="0.25">
      <c r="C57" s="86" t="s">
        <v>217</v>
      </c>
      <c r="D57" s="104">
        <v>63</v>
      </c>
    </row>
    <row r="58" spans="3:4" x14ac:dyDescent="0.25">
      <c r="C58" s="86" t="s">
        <v>218</v>
      </c>
      <c r="D58" s="104">
        <f>212/344</f>
        <v>0.61627906976744184</v>
      </c>
    </row>
  </sheetData>
  <hyperlinks>
    <hyperlink ref="F3" r:id="rId1" xr:uid="{B8EF9E75-F807-497F-83F8-767D71FCE6E3}"/>
    <hyperlink ref="F4" r:id="rId2" display="https://www.thelancet.com/journals/lancet/article/PIIS0140-6736(15)01281-7/fulltext" xr:uid="{1AF1EAA8-ADAA-49CF-9055-E5B62D22470A}"/>
    <hyperlink ref="F5" r:id="rId3" display="https://www.jto.org/article/S1556-0864(21)02172-9/fulltext" xr:uid="{A63557AE-97DF-4431-BEFE-6316D350EF8D}"/>
    <hyperlink ref="F6" r:id="rId4" display="https://www.jto.org/article/S1556-0864(21)02172-9/fulltext" xr:uid="{EEE29049-485B-4629-9C7E-6F751A511378}"/>
  </hyperlinks>
  <pageMargins left="0.7" right="0.7" top="0.75" bottom="0.75" header="0.3" footer="0.3"/>
  <pageSetup paperSize="9" orientation="portrait" r:id="rId5"/>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A8689C-AC12-4674-8C34-7B32D61AD4AE}">
  <dimension ref="B5:E8"/>
  <sheetViews>
    <sheetView workbookViewId="0">
      <selection activeCell="B9" sqref="B9"/>
    </sheetView>
  </sheetViews>
  <sheetFormatPr defaultRowHeight="15" x14ac:dyDescent="0.25"/>
  <cols>
    <col min="2" max="2" width="51" customWidth="1"/>
    <col min="3" max="3" width="68.5703125" customWidth="1"/>
  </cols>
  <sheetData>
    <row r="5" spans="2:5" x14ac:dyDescent="0.25">
      <c r="B5" s="86" t="s">
        <v>192</v>
      </c>
      <c r="C5" s="86" t="s">
        <v>193</v>
      </c>
      <c r="D5" s="86" t="s">
        <v>194</v>
      </c>
      <c r="E5" s="86" t="s">
        <v>195</v>
      </c>
    </row>
    <row r="6" spans="2:5" x14ac:dyDescent="0.25">
      <c r="B6" s="86" t="s">
        <v>275</v>
      </c>
      <c r="C6" s="86" t="s">
        <v>197</v>
      </c>
      <c r="D6" s="86" t="s">
        <v>292</v>
      </c>
      <c r="E6" s="4" t="s">
        <v>45</v>
      </c>
    </row>
    <row r="7" spans="2:5" x14ac:dyDescent="0.25">
      <c r="B7" s="99"/>
      <c r="C7" s="99"/>
      <c r="D7" s="99"/>
      <c r="E7" s="7" t="s">
        <v>46</v>
      </c>
    </row>
    <row r="8" spans="2:5" x14ac:dyDescent="0.25">
      <c r="B8" s="98" t="s">
        <v>293</v>
      </c>
    </row>
  </sheetData>
  <hyperlinks>
    <hyperlink ref="E6" r:id="rId1" xr:uid="{B4DECB0A-95E2-483B-978C-C43DFADD669A}"/>
    <hyperlink ref="E7" r:id="rId2" xr:uid="{EFA94155-E125-48B5-8499-2FA0F8BE3DFA}"/>
  </hyperlinks>
  <pageMargins left="0.7" right="0.7" top="0.75" bottom="0.75" header="0.3" footer="0.3"/>
  <pageSetup paperSize="9" orientation="portrait" r:id="rId3"/>
  <drawing r:id="rId4"/>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BC86B-3E2E-4F74-834D-142AAAD99214}">
  <sheetPr>
    <tabColor rgb="FF00B050"/>
  </sheetPr>
  <dimension ref="A2:N64"/>
  <sheetViews>
    <sheetView topLeftCell="A20" workbookViewId="0">
      <selection activeCell="B68" sqref="B68"/>
    </sheetView>
  </sheetViews>
  <sheetFormatPr defaultRowHeight="15" x14ac:dyDescent="0.25"/>
  <cols>
    <col min="2" max="2" width="45.7109375" customWidth="1"/>
    <col min="3" max="3" width="56.140625" customWidth="1"/>
    <col min="4" max="4" width="39.28515625" customWidth="1"/>
    <col min="5" max="5" width="18" customWidth="1"/>
    <col min="14" max="14" width="18" customWidth="1"/>
  </cols>
  <sheetData>
    <row r="2" spans="2:14" x14ac:dyDescent="0.25">
      <c r="B2" s="86" t="s">
        <v>192</v>
      </c>
      <c r="C2" s="86" t="s">
        <v>193</v>
      </c>
      <c r="D2" s="86" t="s">
        <v>194</v>
      </c>
      <c r="E2" s="86" t="s">
        <v>195</v>
      </c>
    </row>
    <row r="3" spans="2:14" x14ac:dyDescent="0.25">
      <c r="B3" s="86" t="s">
        <v>294</v>
      </c>
      <c r="C3" s="86" t="s">
        <v>295</v>
      </c>
      <c r="D3" s="86" t="s">
        <v>296</v>
      </c>
      <c r="E3" s="1" t="s">
        <v>297</v>
      </c>
    </row>
    <row r="4" spans="2:14" x14ac:dyDescent="0.25">
      <c r="B4" s="86" t="s">
        <v>294</v>
      </c>
      <c r="C4" s="86" t="s">
        <v>285</v>
      </c>
      <c r="D4" s="86" t="s">
        <v>298</v>
      </c>
      <c r="E4" s="1" t="s">
        <v>297</v>
      </c>
    </row>
    <row r="5" spans="2:14" x14ac:dyDescent="0.25">
      <c r="B5" s="86" t="s">
        <v>299</v>
      </c>
      <c r="C5" s="86" t="s">
        <v>288</v>
      </c>
      <c r="D5" s="86" t="s">
        <v>300</v>
      </c>
      <c r="E5" s="1" t="s">
        <v>301</v>
      </c>
    </row>
    <row r="6" spans="2:14" x14ac:dyDescent="0.25">
      <c r="B6" s="86" t="s">
        <v>299</v>
      </c>
      <c r="C6" s="86" t="s">
        <v>261</v>
      </c>
      <c r="D6" s="86" t="s">
        <v>302</v>
      </c>
      <c r="E6" s="1" t="s">
        <v>301</v>
      </c>
    </row>
    <row r="7" spans="2:14" x14ac:dyDescent="0.25">
      <c r="B7" s="86" t="s">
        <v>299</v>
      </c>
      <c r="C7" s="86" t="s">
        <v>242</v>
      </c>
      <c r="D7" s="86" t="s">
        <v>303</v>
      </c>
      <c r="E7" s="1" t="s">
        <v>301</v>
      </c>
    </row>
    <row r="12" spans="2:14" x14ac:dyDescent="0.25">
      <c r="N12" t="s">
        <v>304</v>
      </c>
    </row>
    <row r="35" spans="1:2" x14ac:dyDescent="0.25">
      <c r="A35" t="s">
        <v>305</v>
      </c>
      <c r="B35" s="1" t="s">
        <v>306</v>
      </c>
    </row>
    <row r="62" spans="2:6" x14ac:dyDescent="0.25">
      <c r="B62">
        <f>(365.25/12)/7</f>
        <v>4.3482142857142856</v>
      </c>
      <c r="F62">
        <f>22*7</f>
        <v>154</v>
      </c>
    </row>
    <row r="63" spans="2:6" x14ac:dyDescent="0.25">
      <c r="B63">
        <f>22/B62</f>
        <v>5.0595482546201236</v>
      </c>
      <c r="C63">
        <f>43/B62</f>
        <v>9.8891170431211499</v>
      </c>
      <c r="F63">
        <f>F62/365.25</f>
        <v>0.42162902121834361</v>
      </c>
    </row>
    <row r="64" spans="2:6" x14ac:dyDescent="0.25">
      <c r="F64">
        <f>F63*12</f>
        <v>5.0595482546201236</v>
      </c>
    </row>
  </sheetData>
  <hyperlinks>
    <hyperlink ref="E5" r:id="rId1" display="https://www.nice.org.uk/guidance/ta531/evidence/committee-papers-pdf-4909657501" xr:uid="{A5DCD8EE-ADB9-49EB-9CCC-D2F25BBF5A72}"/>
    <hyperlink ref="B35" r:id="rId2" xr:uid="{039AC2E9-D5E6-4A07-A106-D24AB941BA2D}"/>
    <hyperlink ref="E3" r:id="rId3" display="https://www.nice.org.uk/guidance/ta531/documents/committee-papers-3" xr:uid="{7E74186A-4A89-4313-90C4-05CDB7D6E970}"/>
    <hyperlink ref="E4" r:id="rId4" display="https://www.nice.org.uk/guidance/ta531/documents/committee-papers-3" xr:uid="{7C4E9FCD-1274-433C-8A67-0B8042D14A34}"/>
    <hyperlink ref="E6" r:id="rId5" display="https://www.nice.org.uk/guidance/ta531/evidence/committee-papers-pdf-4909657501" xr:uid="{A14011CF-D4C4-428D-AC70-9B827759466E}"/>
    <hyperlink ref="E7" r:id="rId6" display="https://www.nice.org.uk/guidance/ta531/evidence/committee-papers-pdf-4909657501" xr:uid="{D6D0B2EF-AE05-4967-A9AC-6624538E1D34}"/>
  </hyperlinks>
  <pageMargins left="0.7" right="0.7" top="0.75" bottom="0.75" header="0.3" footer="0.3"/>
  <pageSetup paperSize="9" orientation="portrait" r:id="rId7"/>
  <drawing r:id="rId8"/>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10F70-033D-4680-9C09-8E4C2A9A797C}">
  <dimension ref="A1:D41"/>
  <sheetViews>
    <sheetView topLeftCell="A16" workbookViewId="0">
      <selection activeCell="P44" sqref="P44"/>
    </sheetView>
  </sheetViews>
  <sheetFormatPr defaultRowHeight="15" x14ac:dyDescent="0.25"/>
  <sheetData>
    <row r="1" spans="1:4" x14ac:dyDescent="0.25">
      <c r="A1" t="s">
        <v>117</v>
      </c>
    </row>
    <row r="3" spans="1:4" x14ac:dyDescent="0.25">
      <c r="A3" s="79" t="s">
        <v>24</v>
      </c>
      <c r="B3" s="4" t="s">
        <v>25</v>
      </c>
      <c r="C3" s="4" t="s">
        <v>26</v>
      </c>
      <c r="D3" s="19" t="s">
        <v>7</v>
      </c>
    </row>
    <row r="4" spans="1:4" x14ac:dyDescent="0.25">
      <c r="A4" s="16"/>
      <c r="B4" s="6"/>
      <c r="C4" s="7" t="s">
        <v>28</v>
      </c>
      <c r="D4" s="6"/>
    </row>
    <row r="39" spans="2:2" x14ac:dyDescent="0.25">
      <c r="B39">
        <f>13*7</f>
        <v>91</v>
      </c>
    </row>
    <row r="40" spans="2:2" x14ac:dyDescent="0.25">
      <c r="B40">
        <f>B39/365.25</f>
        <v>0.24914442162902123</v>
      </c>
    </row>
    <row r="41" spans="2:2" x14ac:dyDescent="0.25">
      <c r="B41">
        <f>B40*12</f>
        <v>2.9897330595482545</v>
      </c>
    </row>
  </sheetData>
  <hyperlinks>
    <hyperlink ref="C3" r:id="rId1" display="https://www.nice.org.uk/guidance/ta650/documents/1-2" xr:uid="{04436A19-EE15-4A31-B792-3A54C51C7D99}"/>
    <hyperlink ref="C4" r:id="rId2" display="https://www.nice.org.uk/guidance/ta650/documents/1" xr:uid="{B39F3D1F-B4AA-4ACD-8E23-6F1A503AF39B}"/>
  </hyperlinks>
  <pageMargins left="0.7" right="0.7" top="0.75" bottom="0.75" header="0.3" footer="0.3"/>
  <pageSetup paperSize="9" orientation="portrait" r:id="rId3"/>
  <drawing r:id="rId4"/>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889AA-D933-45CE-B031-631626767993}">
  <dimension ref="A1:D33"/>
  <sheetViews>
    <sheetView topLeftCell="A7" workbookViewId="0">
      <selection activeCell="A4" sqref="A4"/>
    </sheetView>
  </sheetViews>
  <sheetFormatPr defaultRowHeight="15" x14ac:dyDescent="0.25"/>
  <cols>
    <col min="1" max="1" width="84.140625" customWidth="1"/>
    <col min="2" max="2" width="33.85546875" customWidth="1"/>
  </cols>
  <sheetData>
    <row r="1" spans="1:4" x14ac:dyDescent="0.25">
      <c r="B1" t="s">
        <v>1</v>
      </c>
      <c r="C1" t="s">
        <v>0</v>
      </c>
    </row>
    <row r="2" spans="1:4" x14ac:dyDescent="0.25">
      <c r="A2" t="s">
        <v>307</v>
      </c>
      <c r="B2" t="s">
        <v>33</v>
      </c>
      <c r="C2" s="1" t="s">
        <v>34</v>
      </c>
    </row>
    <row r="3" spans="1:4" x14ac:dyDescent="0.25">
      <c r="B3" t="s">
        <v>36</v>
      </c>
      <c r="C3" s="1" t="s">
        <v>37</v>
      </c>
    </row>
    <row r="4" spans="1:4" ht="75" x14ac:dyDescent="0.25">
      <c r="A4" s="2" t="s">
        <v>308</v>
      </c>
      <c r="B4" t="s">
        <v>309</v>
      </c>
      <c r="C4" s="1" t="s">
        <v>41</v>
      </c>
    </row>
    <row r="5" spans="1:4" ht="90" x14ac:dyDescent="0.25">
      <c r="A5" s="2" t="s">
        <v>310</v>
      </c>
      <c r="B5" t="s">
        <v>311</v>
      </c>
      <c r="C5" s="1" t="s">
        <v>45</v>
      </c>
    </row>
    <row r="6" spans="1:4" x14ac:dyDescent="0.25">
      <c r="C6" s="1" t="s">
        <v>46</v>
      </c>
    </row>
    <row r="7" spans="1:4" ht="60" x14ac:dyDescent="0.25">
      <c r="A7" s="2" t="s">
        <v>4</v>
      </c>
      <c r="B7" t="s">
        <v>5</v>
      </c>
      <c r="C7" s="1" t="s">
        <v>6</v>
      </c>
    </row>
    <row r="8" spans="1:4" ht="30" x14ac:dyDescent="0.25">
      <c r="A8" s="2" t="s">
        <v>48</v>
      </c>
      <c r="B8" t="s">
        <v>49</v>
      </c>
    </row>
    <row r="9" spans="1:4" ht="45" x14ac:dyDescent="0.25">
      <c r="A9" s="2" t="s">
        <v>8</v>
      </c>
      <c r="B9" t="s">
        <v>312</v>
      </c>
      <c r="C9" t="s">
        <v>10</v>
      </c>
      <c r="D9" t="s">
        <v>313</v>
      </c>
    </row>
    <row r="10" spans="1:4" ht="45" x14ac:dyDescent="0.25">
      <c r="A10" s="2" t="s">
        <v>11</v>
      </c>
      <c r="B10" t="s">
        <v>12</v>
      </c>
      <c r="C10" s="1" t="s">
        <v>13</v>
      </c>
    </row>
    <row r="11" spans="1:4" x14ac:dyDescent="0.25">
      <c r="A11" s="2" t="s">
        <v>314</v>
      </c>
      <c r="C11" s="1" t="s">
        <v>15</v>
      </c>
    </row>
    <row r="12" spans="1:4" x14ac:dyDescent="0.25">
      <c r="B12" t="s">
        <v>315</v>
      </c>
    </row>
    <row r="13" spans="1:4" x14ac:dyDescent="0.25">
      <c r="A13" s="2" t="s">
        <v>27</v>
      </c>
      <c r="B13" s="1" t="s">
        <v>25</v>
      </c>
      <c r="C13" s="1" t="s">
        <v>26</v>
      </c>
    </row>
    <row r="14" spans="1:4" x14ac:dyDescent="0.25">
      <c r="B14" s="1" t="s">
        <v>28</v>
      </c>
    </row>
    <row r="17" spans="1:3" ht="60" x14ac:dyDescent="0.25">
      <c r="A17" s="2" t="s">
        <v>16</v>
      </c>
      <c r="B17" t="s">
        <v>17</v>
      </c>
      <c r="C17" t="s">
        <v>18</v>
      </c>
    </row>
    <row r="18" spans="1:3" x14ac:dyDescent="0.25">
      <c r="B18" s="1" t="s">
        <v>19</v>
      </c>
      <c r="C18" t="s">
        <v>20</v>
      </c>
    </row>
    <row r="20" spans="1:3" ht="75" x14ac:dyDescent="0.25">
      <c r="A20" s="2" t="s">
        <v>54</v>
      </c>
      <c r="B20" t="s">
        <v>55</v>
      </c>
      <c r="C20" t="s">
        <v>316</v>
      </c>
    </row>
    <row r="21" spans="1:3" x14ac:dyDescent="0.25">
      <c r="B21" t="s">
        <v>317</v>
      </c>
    </row>
    <row r="23" spans="1:3" ht="75" x14ac:dyDescent="0.25">
      <c r="A23" s="2" t="s">
        <v>21</v>
      </c>
      <c r="B23" t="s">
        <v>22</v>
      </c>
    </row>
    <row r="25" spans="1:3" x14ac:dyDescent="0.25">
      <c r="A25" t="s">
        <v>57</v>
      </c>
      <c r="B25" t="s">
        <v>58</v>
      </c>
      <c r="C25" t="s">
        <v>59</v>
      </c>
    </row>
    <row r="27" spans="1:3" ht="135" x14ac:dyDescent="0.25">
      <c r="A27" s="2" t="s">
        <v>60</v>
      </c>
      <c r="B27" s="2" t="s">
        <v>61</v>
      </c>
      <c r="C27" s="1" t="s">
        <v>318</v>
      </c>
    </row>
    <row r="29" spans="1:3" ht="120" x14ac:dyDescent="0.25">
      <c r="A29" s="2" t="s">
        <v>63</v>
      </c>
      <c r="B29" s="2" t="s">
        <v>64</v>
      </c>
      <c r="C29" s="1" t="s">
        <v>65</v>
      </c>
    </row>
    <row r="31" spans="1:3" ht="75" x14ac:dyDescent="0.25">
      <c r="A31" s="2" t="s">
        <v>66</v>
      </c>
      <c r="B31" t="s">
        <v>67</v>
      </c>
      <c r="C31" t="s">
        <v>68</v>
      </c>
    </row>
    <row r="33" spans="1:3" ht="45" x14ac:dyDescent="0.25">
      <c r="A33" s="2" t="s">
        <v>69</v>
      </c>
      <c r="B33" t="s">
        <v>70</v>
      </c>
      <c r="C33" t="s">
        <v>71</v>
      </c>
    </row>
  </sheetData>
  <hyperlinks>
    <hyperlink ref="C2" r:id="rId1" xr:uid="{3656434A-63F5-4798-91FF-2F236964B613}"/>
    <hyperlink ref="C4" r:id="rId2" xr:uid="{29CF0B99-EC8E-483B-A902-14EB849C2AE4}"/>
    <hyperlink ref="C3" r:id="rId3" xr:uid="{26AB5F88-08C3-4EA5-9F9C-E648F280A1BB}"/>
    <hyperlink ref="C6" r:id="rId4" xr:uid="{F7071C3C-90AB-4231-BC72-430A9903A611}"/>
    <hyperlink ref="C5" r:id="rId5" xr:uid="{07CBE23A-CD06-431F-8DE4-D87AAC522FEA}"/>
    <hyperlink ref="C7" r:id="rId6" display="https://www.nice.org.uk/guidance/ta396/documents/committee-papers" xr:uid="{C0E52FD9-314E-40C1-8F6E-D054EF3B0C11}"/>
    <hyperlink ref="C10" r:id="rId7" xr:uid="{F2300EAA-639B-4485-A4DF-401000588522}"/>
    <hyperlink ref="C11" r:id="rId8" xr:uid="{D72918C9-8274-4DF5-853D-0778575870F4}"/>
    <hyperlink ref="C13" r:id="rId9" display="https://www.nice.org.uk/guidance/ta650/documents/1-2" xr:uid="{15F3F0BF-007E-46F6-882D-EAEDFC4B3E70}"/>
    <hyperlink ref="B14" r:id="rId10" display="https://www.nice.org.uk/guidance/ta650/documents/1" xr:uid="{C15CF636-F990-4AD2-BF83-7437C7A674BB}"/>
    <hyperlink ref="B18" r:id="rId11" xr:uid="{8D0A2F51-DD4A-4102-A27C-A895008EDE02}"/>
    <hyperlink ref="C27" r:id="rId12" xr:uid="{D28ED459-1492-47BB-891B-03675DC27E86}"/>
    <hyperlink ref="C29" r:id="rId13" xr:uid="{A8E13A29-7D8A-4A75-AEA0-4E44DF6179AA}"/>
  </hyperlinks>
  <pageMargins left="0.7" right="0.7" top="0.75" bottom="0.75" header="0.3" footer="0.3"/>
  <pageSetup paperSize="9" orientation="portrait"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5B508-D569-4A1F-AD22-ADBDD5ABE816}">
  <dimension ref="A1:N10"/>
  <sheetViews>
    <sheetView workbookViewId="0">
      <selection activeCell="I4" sqref="I4:I5"/>
    </sheetView>
  </sheetViews>
  <sheetFormatPr defaultRowHeight="15" x14ac:dyDescent="0.25"/>
  <cols>
    <col min="1" max="1" width="30.42578125" customWidth="1"/>
    <col min="2" max="2" width="43" hidden="1" customWidth="1"/>
    <col min="3" max="3" width="23.85546875" customWidth="1"/>
    <col min="4" max="8" width="43" customWidth="1"/>
    <col min="9" max="9" width="63.85546875" customWidth="1"/>
    <col min="10" max="10" width="40.42578125" customWidth="1"/>
    <col min="11" max="11" width="57.85546875" customWidth="1"/>
    <col min="12" max="12" width="46.28515625" customWidth="1"/>
    <col min="13" max="13" width="29.85546875" customWidth="1"/>
    <col min="14" max="14" width="25" customWidth="1"/>
  </cols>
  <sheetData>
    <row r="1" spans="1:14" x14ac:dyDescent="0.25">
      <c r="A1" t="s">
        <v>73</v>
      </c>
      <c r="B1" t="s">
        <v>3</v>
      </c>
      <c r="C1" t="s">
        <v>74</v>
      </c>
      <c r="D1" t="s">
        <v>75</v>
      </c>
      <c r="E1" t="s">
        <v>76</v>
      </c>
      <c r="F1" t="s">
        <v>77</v>
      </c>
      <c r="G1" t="s">
        <v>3</v>
      </c>
      <c r="H1" t="s">
        <v>78</v>
      </c>
      <c r="I1" t="s">
        <v>0</v>
      </c>
      <c r="J1" t="s">
        <v>1</v>
      </c>
      <c r="K1" t="s">
        <v>0</v>
      </c>
      <c r="L1" t="s">
        <v>2</v>
      </c>
      <c r="M1" t="s">
        <v>3</v>
      </c>
      <c r="N1" t="s">
        <v>79</v>
      </c>
    </row>
    <row r="2" spans="1:14" ht="150" x14ac:dyDescent="0.25">
      <c r="A2" s="29" t="s">
        <v>80</v>
      </c>
      <c r="B2" s="25" t="s">
        <v>81</v>
      </c>
      <c r="C2" s="25" t="s">
        <v>82</v>
      </c>
      <c r="D2" s="25" t="s">
        <v>83</v>
      </c>
      <c r="E2" s="25" t="s">
        <v>84</v>
      </c>
      <c r="F2" s="25" t="s">
        <v>85</v>
      </c>
      <c r="G2" s="25" t="s">
        <v>86</v>
      </c>
      <c r="H2" s="34" t="s">
        <v>87</v>
      </c>
      <c r="I2" s="9" t="s">
        <v>4</v>
      </c>
      <c r="J2" s="13" t="s">
        <v>5</v>
      </c>
      <c r="K2" s="11" t="s">
        <v>6</v>
      </c>
      <c r="L2" s="26" t="s">
        <v>7</v>
      </c>
      <c r="M2" s="12"/>
      <c r="N2" s="20" t="s">
        <v>88</v>
      </c>
    </row>
    <row r="3" spans="1:14" ht="60" x14ac:dyDescent="0.25">
      <c r="A3" s="29" t="s">
        <v>50</v>
      </c>
      <c r="B3" s="22" t="s">
        <v>89</v>
      </c>
      <c r="C3" s="22" t="s">
        <v>90</v>
      </c>
      <c r="D3" s="22" t="s">
        <v>91</v>
      </c>
      <c r="E3" s="22" t="s">
        <v>92</v>
      </c>
      <c r="F3" s="22" t="s">
        <v>93</v>
      </c>
      <c r="G3" s="22"/>
      <c r="H3" s="33" t="s">
        <v>94</v>
      </c>
      <c r="I3" s="9" t="s">
        <v>8</v>
      </c>
      <c r="J3" s="10" t="s">
        <v>9</v>
      </c>
      <c r="K3" s="13" t="s">
        <v>95</v>
      </c>
      <c r="L3" s="26" t="s">
        <v>7</v>
      </c>
      <c r="M3" s="12"/>
      <c r="N3" s="17" t="s">
        <v>96</v>
      </c>
    </row>
    <row r="4" spans="1:14" ht="60" x14ac:dyDescent="0.25">
      <c r="A4" s="126" t="s">
        <v>51</v>
      </c>
      <c r="B4" s="23" t="s">
        <v>97</v>
      </c>
      <c r="C4" s="23" t="s">
        <v>98</v>
      </c>
      <c r="D4" s="23" t="s">
        <v>99</v>
      </c>
      <c r="E4" s="23" t="s">
        <v>100</v>
      </c>
      <c r="F4" s="23" t="s">
        <v>101</v>
      </c>
      <c r="G4" s="23" t="s">
        <v>102</v>
      </c>
      <c r="H4" s="35" t="s">
        <v>87</v>
      </c>
      <c r="I4" s="113" t="s">
        <v>103</v>
      </c>
      <c r="J4" s="3" t="s">
        <v>12</v>
      </c>
      <c r="K4" s="4" t="s">
        <v>13</v>
      </c>
      <c r="L4" s="128" t="s">
        <v>7</v>
      </c>
      <c r="M4" s="15" t="s">
        <v>14</v>
      </c>
      <c r="N4" s="21" t="s">
        <v>104</v>
      </c>
    </row>
    <row r="5" spans="1:14" x14ac:dyDescent="0.25">
      <c r="A5" s="126"/>
      <c r="B5" s="23"/>
      <c r="C5" s="23"/>
      <c r="D5" s="23"/>
      <c r="E5" s="23"/>
      <c r="F5" s="23"/>
      <c r="G5" s="23"/>
      <c r="H5" s="23"/>
      <c r="I5" s="114"/>
      <c r="J5" s="6"/>
      <c r="K5" s="7" t="s">
        <v>15</v>
      </c>
      <c r="L5" s="129"/>
      <c r="M5" s="8"/>
      <c r="N5" s="21"/>
    </row>
    <row r="6" spans="1:14" ht="75" x14ac:dyDescent="0.25">
      <c r="A6" s="127" t="s">
        <v>52</v>
      </c>
      <c r="B6" s="24"/>
      <c r="C6" s="25" t="s">
        <v>82</v>
      </c>
      <c r="D6" s="31" t="s">
        <v>99</v>
      </c>
      <c r="E6" s="28" t="s">
        <v>105</v>
      </c>
      <c r="F6" s="24" t="s">
        <v>106</v>
      </c>
      <c r="G6" s="30" t="s">
        <v>107</v>
      </c>
      <c r="H6" s="24" t="s">
        <v>108</v>
      </c>
      <c r="I6" s="14" t="s">
        <v>16</v>
      </c>
      <c r="J6" s="3" t="s">
        <v>17</v>
      </c>
      <c r="K6" s="3" t="s">
        <v>18</v>
      </c>
      <c r="L6" s="128" t="s">
        <v>7</v>
      </c>
      <c r="M6" s="5"/>
      <c r="N6" s="20" t="s">
        <v>109</v>
      </c>
    </row>
    <row r="7" spans="1:14" x14ac:dyDescent="0.25">
      <c r="A7" s="127"/>
      <c r="B7" s="24"/>
      <c r="C7" s="24"/>
      <c r="D7" s="24"/>
      <c r="E7" s="24"/>
      <c r="F7" s="24" t="s">
        <v>110</v>
      </c>
      <c r="G7" s="24"/>
      <c r="H7" s="24"/>
      <c r="I7" s="16"/>
      <c r="J7" s="7" t="s">
        <v>19</v>
      </c>
      <c r="K7" s="6" t="s">
        <v>20</v>
      </c>
      <c r="L7" s="129"/>
      <c r="M7" s="8"/>
    </row>
    <row r="8" spans="1:14" ht="75" x14ac:dyDescent="0.25">
      <c r="A8" s="29" t="s">
        <v>111</v>
      </c>
      <c r="C8" s="25" t="s">
        <v>82</v>
      </c>
      <c r="D8" s="23" t="s">
        <v>99</v>
      </c>
      <c r="E8" t="s">
        <v>112</v>
      </c>
      <c r="F8" s="2" t="s">
        <v>113</v>
      </c>
      <c r="G8" t="s">
        <v>114</v>
      </c>
      <c r="H8" t="s">
        <v>108</v>
      </c>
      <c r="I8" s="9" t="s">
        <v>21</v>
      </c>
      <c r="J8" s="10" t="s">
        <v>115</v>
      </c>
      <c r="K8" s="10"/>
      <c r="L8" s="27" t="s">
        <v>7</v>
      </c>
      <c r="M8" s="12"/>
      <c r="N8" s="17" t="s">
        <v>116</v>
      </c>
    </row>
    <row r="9" spans="1:14" x14ac:dyDescent="0.25">
      <c r="A9" s="29" t="s">
        <v>117</v>
      </c>
      <c r="C9" s="25" t="s">
        <v>90</v>
      </c>
      <c r="D9" s="32" t="s">
        <v>118</v>
      </c>
      <c r="E9" t="s">
        <v>119</v>
      </c>
      <c r="G9" t="s">
        <v>120</v>
      </c>
      <c r="H9" t="s">
        <v>108</v>
      </c>
      <c r="I9" t="s">
        <v>24</v>
      </c>
      <c r="J9" s="4" t="s">
        <v>25</v>
      </c>
      <c r="K9" s="4" t="s">
        <v>26</v>
      </c>
      <c r="L9" s="124" t="s">
        <v>7</v>
      </c>
      <c r="M9" s="5" t="s">
        <v>27</v>
      </c>
      <c r="N9" t="s">
        <v>121</v>
      </c>
    </row>
    <row r="10" spans="1:14" x14ac:dyDescent="0.25">
      <c r="I10" s="16"/>
      <c r="J10" s="6"/>
      <c r="K10" s="7" t="s">
        <v>28</v>
      </c>
      <c r="L10" s="125"/>
      <c r="M10" s="8"/>
    </row>
  </sheetData>
  <mergeCells count="6">
    <mergeCell ref="L9:L10"/>
    <mergeCell ref="A4:A5"/>
    <mergeCell ref="A6:A7"/>
    <mergeCell ref="I4:I5"/>
    <mergeCell ref="L4:L5"/>
    <mergeCell ref="L6:L7"/>
  </mergeCells>
  <hyperlinks>
    <hyperlink ref="K2" r:id="rId1" display="https://www.nice.org.uk/guidance/ta396/documents/committee-papers" xr:uid="{61C0472A-AC6F-40F5-BBB4-B1DD69D9CCEA}"/>
    <hyperlink ref="K4" r:id="rId2" xr:uid="{87A17BEA-06EA-4DEC-82F1-4AC95E597E3C}"/>
    <hyperlink ref="K5" r:id="rId3" xr:uid="{8D3B451D-82A9-4A18-8B6C-4867E0B253AD}"/>
    <hyperlink ref="K9" r:id="rId4" display="https://www.nice.org.uk/guidance/ta650/documents/1-2" xr:uid="{D7B81B4A-7ECE-4AFB-BF57-706E8760E382}"/>
    <hyperlink ref="K10" r:id="rId5" display="https://www.nice.org.uk/guidance/ta650/documents/1" xr:uid="{181A2801-6CD3-4B1B-9A44-CC3C15FAAF6C}"/>
    <hyperlink ref="J7" r:id="rId6" xr:uid="{028FB18A-E1F4-4B89-A94D-3F2D571A6165}"/>
    <hyperlink ref="H3" r:id="rId7" display="Y" xr:uid="{786E1DB1-7670-48DB-8D6F-97901F0DC6CE}"/>
    <hyperlink ref="H2" r:id="rId8" xr:uid="{3A0E6116-CD2E-4B17-94C2-623FC7836DFC}"/>
    <hyperlink ref="H4" r:id="rId9" xr:uid="{99871A58-9176-4F1C-97BE-4A58E993DC62}"/>
  </hyperlinks>
  <pageMargins left="0.7" right="0.7" top="0.75" bottom="0.75" header="0.3" footer="0.3"/>
  <pageSetup paperSize="9" orientation="portrait" r:id="rId1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32489-7AE6-4B85-BD70-270D749593F2}">
  <dimension ref="A1:T14"/>
  <sheetViews>
    <sheetView topLeftCell="F3" workbookViewId="0">
      <selection activeCell="F7" sqref="F7"/>
    </sheetView>
  </sheetViews>
  <sheetFormatPr defaultRowHeight="15" x14ac:dyDescent="0.25"/>
  <cols>
    <col min="1" max="1" width="30.42578125" customWidth="1"/>
    <col min="2" max="3" width="43" customWidth="1"/>
    <col min="4" max="4" width="23.85546875" customWidth="1"/>
    <col min="5" max="6" width="43" customWidth="1"/>
    <col min="7" max="7" width="35.28515625" customWidth="1"/>
    <col min="8" max="10" width="32.7109375" customWidth="1"/>
    <col min="11" max="14" width="43" customWidth="1"/>
    <col min="15" max="15" width="63.85546875" customWidth="1"/>
    <col min="16" max="16" width="40.42578125" customWidth="1"/>
    <col min="17" max="17" width="57.85546875" customWidth="1"/>
    <col min="18" max="18" width="46.28515625" customWidth="1"/>
    <col min="19" max="19" width="29.85546875" customWidth="1"/>
    <col min="20" max="20" width="25" customWidth="1"/>
  </cols>
  <sheetData>
    <row r="1" spans="1:20" ht="15.75" thickBot="1" x14ac:dyDescent="0.3">
      <c r="A1" s="36">
        <f>COUNTA($A$2:A2)</f>
        <v>1</v>
      </c>
      <c r="B1" s="36">
        <f>COUNTA($A$2:B2)</f>
        <v>2</v>
      </c>
      <c r="C1" s="36">
        <f>COUNTA($A$2:C2)</f>
        <v>3</v>
      </c>
      <c r="D1" s="36">
        <f>COUNTA($A$2:D2)</f>
        <v>4</v>
      </c>
      <c r="E1" s="36">
        <f>COUNTA($A$2:E2)</f>
        <v>5</v>
      </c>
      <c r="F1" s="36">
        <f>COUNTA($A$2:F2)</f>
        <v>6</v>
      </c>
      <c r="G1" s="51" t="s">
        <v>122</v>
      </c>
      <c r="H1" s="39"/>
      <c r="I1" s="38" t="s">
        <v>123</v>
      </c>
      <c r="J1" s="39"/>
      <c r="K1" s="36">
        <f>COUNTA($A$2:K2)</f>
        <v>11</v>
      </c>
    </row>
    <row r="2" spans="1:20" ht="41.25" customHeight="1" thickBot="1" x14ac:dyDescent="0.3">
      <c r="A2" s="49" t="s">
        <v>73</v>
      </c>
      <c r="B2" s="50" t="s">
        <v>3</v>
      </c>
      <c r="C2" s="50" t="s">
        <v>124</v>
      </c>
      <c r="D2" s="50" t="s">
        <v>74</v>
      </c>
      <c r="E2" s="50" t="s">
        <v>75</v>
      </c>
      <c r="F2" s="50" t="s">
        <v>125</v>
      </c>
      <c r="G2" s="52" t="s">
        <v>126</v>
      </c>
      <c r="H2" s="54" t="s">
        <v>127</v>
      </c>
      <c r="I2" s="53" t="s">
        <v>126</v>
      </c>
      <c r="J2" s="54" t="s">
        <v>127</v>
      </c>
      <c r="K2" t="s">
        <v>76</v>
      </c>
      <c r="L2" t="s">
        <v>77</v>
      </c>
      <c r="M2" t="s">
        <v>3</v>
      </c>
      <c r="N2" t="s">
        <v>78</v>
      </c>
      <c r="O2" t="s">
        <v>0</v>
      </c>
      <c r="P2" t="s">
        <v>1</v>
      </c>
      <c r="Q2" t="s">
        <v>0</v>
      </c>
      <c r="R2" t="s">
        <v>2</v>
      </c>
      <c r="S2" t="s">
        <v>3</v>
      </c>
      <c r="T2" t="s">
        <v>79</v>
      </c>
    </row>
    <row r="3" spans="1:20" ht="150" x14ac:dyDescent="0.25">
      <c r="A3" s="46" t="s">
        <v>80</v>
      </c>
      <c r="B3" s="47" t="s">
        <v>81</v>
      </c>
      <c r="C3" s="47" t="s">
        <v>128</v>
      </c>
      <c r="D3" s="47" t="s">
        <v>82</v>
      </c>
      <c r="E3" s="47" t="s">
        <v>83</v>
      </c>
      <c r="F3" s="47" t="s">
        <v>128</v>
      </c>
      <c r="G3" s="47">
        <v>18.600000000000001</v>
      </c>
      <c r="H3" s="47">
        <v>18.3</v>
      </c>
      <c r="I3" s="47">
        <v>11.8</v>
      </c>
      <c r="J3" s="48">
        <v>14.7</v>
      </c>
      <c r="K3" s="25" t="s">
        <v>84</v>
      </c>
      <c r="L3" s="25" t="s">
        <v>85</v>
      </c>
      <c r="M3" s="25" t="s">
        <v>86</v>
      </c>
      <c r="N3" s="34" t="s">
        <v>87</v>
      </c>
      <c r="O3" s="9" t="s">
        <v>4</v>
      </c>
      <c r="P3" s="13" t="s">
        <v>5</v>
      </c>
      <c r="Q3" s="11" t="s">
        <v>6</v>
      </c>
      <c r="R3" s="26" t="s">
        <v>7</v>
      </c>
      <c r="S3" s="12"/>
      <c r="T3" s="20" t="s">
        <v>129</v>
      </c>
    </row>
    <row r="4" spans="1:20" ht="30.75" thickBot="1" x14ac:dyDescent="0.3">
      <c r="A4" s="41" t="s">
        <v>80</v>
      </c>
      <c r="B4" s="23"/>
      <c r="C4" s="23" t="s">
        <v>130</v>
      </c>
      <c r="D4" s="23" t="s">
        <v>82</v>
      </c>
      <c r="E4" s="23" t="s">
        <v>83</v>
      </c>
      <c r="F4" s="23" t="s">
        <v>130</v>
      </c>
      <c r="G4" s="23">
        <v>3.2</v>
      </c>
      <c r="H4" s="23" t="s">
        <v>131</v>
      </c>
      <c r="I4" s="23">
        <v>12.5</v>
      </c>
      <c r="J4" s="42">
        <v>19.100000000000001</v>
      </c>
      <c r="K4" s="25"/>
      <c r="L4" s="25"/>
      <c r="M4" s="25"/>
      <c r="N4" s="34"/>
      <c r="O4" s="9"/>
      <c r="P4" s="13"/>
      <c r="Q4" s="11"/>
      <c r="R4" s="26"/>
      <c r="S4" s="12"/>
      <c r="T4" s="20"/>
    </row>
    <row r="5" spans="1:20" ht="60" x14ac:dyDescent="0.25">
      <c r="A5" s="46" t="s">
        <v>50</v>
      </c>
      <c r="B5" s="56" t="s">
        <v>89</v>
      </c>
      <c r="C5" s="47" t="s">
        <v>132</v>
      </c>
      <c r="D5" s="56" t="s">
        <v>90</v>
      </c>
      <c r="E5" s="56" t="s">
        <v>91</v>
      </c>
      <c r="F5" s="47" t="s">
        <v>132</v>
      </c>
      <c r="G5" s="47" t="s">
        <v>131</v>
      </c>
      <c r="H5" s="47" t="s">
        <v>131</v>
      </c>
      <c r="I5" s="47">
        <v>4</v>
      </c>
      <c r="J5" s="57">
        <v>2.6</v>
      </c>
      <c r="K5" s="22" t="s">
        <v>92</v>
      </c>
      <c r="L5" s="22" t="s">
        <v>93</v>
      </c>
      <c r="M5" s="22"/>
      <c r="N5" s="33" t="s">
        <v>94</v>
      </c>
      <c r="O5" s="9" t="s">
        <v>8</v>
      </c>
      <c r="P5" s="10" t="s">
        <v>9</v>
      </c>
      <c r="Q5" s="13" t="s">
        <v>95</v>
      </c>
      <c r="R5" s="26" t="s">
        <v>7</v>
      </c>
      <c r="S5" s="12"/>
      <c r="T5" s="17" t="s">
        <v>133</v>
      </c>
    </row>
    <row r="6" spans="1:20" ht="15.75" thickBot="1" x14ac:dyDescent="0.3">
      <c r="A6" s="43" t="s">
        <v>50</v>
      </c>
      <c r="B6" s="58"/>
      <c r="C6" s="44" t="s">
        <v>134</v>
      </c>
      <c r="D6" s="58" t="s">
        <v>90</v>
      </c>
      <c r="E6" s="58" t="s">
        <v>91</v>
      </c>
      <c r="F6" s="44" t="s">
        <v>134</v>
      </c>
      <c r="G6" s="58" t="s">
        <v>131</v>
      </c>
      <c r="H6" s="58" t="s">
        <v>131</v>
      </c>
      <c r="I6" s="58">
        <v>4</v>
      </c>
      <c r="J6" s="59">
        <v>3.7</v>
      </c>
      <c r="K6" s="22"/>
      <c r="L6" s="22"/>
      <c r="M6" s="22"/>
      <c r="N6" s="33"/>
      <c r="O6" s="14"/>
      <c r="P6" s="3"/>
      <c r="Q6" s="55"/>
      <c r="R6" s="108"/>
      <c r="S6" s="5"/>
      <c r="T6" s="17"/>
    </row>
    <row r="7" spans="1:20" ht="60.75" thickBot="1" x14ac:dyDescent="0.3">
      <c r="A7" s="60" t="s">
        <v>51</v>
      </c>
      <c r="B7" s="61" t="s">
        <v>97</v>
      </c>
      <c r="C7" s="61" t="s">
        <v>135</v>
      </c>
      <c r="D7" s="61" t="s">
        <v>98</v>
      </c>
      <c r="E7" s="61" t="s">
        <v>91</v>
      </c>
      <c r="F7" s="61" t="s">
        <v>135</v>
      </c>
      <c r="G7" s="61">
        <f>ROUND(52*(12/52),0)</f>
        <v>12</v>
      </c>
      <c r="H7" s="61">
        <f>ROUND(12.2, 0)</f>
        <v>12</v>
      </c>
      <c r="I7" s="61" t="s">
        <v>131</v>
      </c>
      <c r="J7" s="62" t="s">
        <v>131</v>
      </c>
      <c r="K7" s="23" t="s">
        <v>100</v>
      </c>
      <c r="L7" s="23" t="s">
        <v>101</v>
      </c>
      <c r="M7" s="23" t="s">
        <v>102</v>
      </c>
      <c r="N7" s="35" t="s">
        <v>87</v>
      </c>
      <c r="O7" s="105" t="s">
        <v>103</v>
      </c>
      <c r="P7" s="3" t="s">
        <v>12</v>
      </c>
      <c r="Q7" s="4" t="s">
        <v>13</v>
      </c>
      <c r="R7" s="108" t="s">
        <v>7</v>
      </c>
      <c r="S7" s="15" t="s">
        <v>14</v>
      </c>
      <c r="T7" s="21" t="s">
        <v>136</v>
      </c>
    </row>
    <row r="8" spans="1:20" ht="75" x14ac:dyDescent="0.25">
      <c r="A8" s="63" t="s">
        <v>52</v>
      </c>
      <c r="B8" s="64"/>
      <c r="C8" s="64" t="s">
        <v>137</v>
      </c>
      <c r="D8" s="47" t="s">
        <v>82</v>
      </c>
      <c r="E8" s="56" t="s">
        <v>91</v>
      </c>
      <c r="F8" s="64" t="s">
        <v>137</v>
      </c>
      <c r="G8" s="65">
        <f>ROUND(12*340/365.25,0)</f>
        <v>11</v>
      </c>
      <c r="H8" s="66">
        <f>ROUND(1.15*12,0)</f>
        <v>14</v>
      </c>
      <c r="I8" s="56">
        <f>ROUND(12*190/365.25,0)</f>
        <v>6</v>
      </c>
      <c r="J8" s="67">
        <f>ROUND(12*208/365.25,0)</f>
        <v>7</v>
      </c>
      <c r="K8" s="28" t="s">
        <v>105</v>
      </c>
      <c r="L8" s="24" t="s">
        <v>106</v>
      </c>
      <c r="M8" s="30" t="s">
        <v>107</v>
      </c>
      <c r="N8" s="24" t="s">
        <v>108</v>
      </c>
      <c r="O8" s="14" t="s">
        <v>16</v>
      </c>
      <c r="P8" s="3" t="s">
        <v>17</v>
      </c>
      <c r="Q8" s="3" t="s">
        <v>18</v>
      </c>
      <c r="R8" s="128" t="s">
        <v>7</v>
      </c>
      <c r="S8" s="5"/>
      <c r="T8" s="20" t="s">
        <v>138</v>
      </c>
    </row>
    <row r="9" spans="1:20" ht="15.75" thickBot="1" x14ac:dyDescent="0.3">
      <c r="A9" s="68" t="s">
        <v>52</v>
      </c>
      <c r="B9" s="69"/>
      <c r="C9" s="69" t="s">
        <v>139</v>
      </c>
      <c r="D9" s="44" t="s">
        <v>82</v>
      </c>
      <c r="E9" s="58" t="s">
        <v>91</v>
      </c>
      <c r="F9" s="69" t="s">
        <v>139</v>
      </c>
      <c r="G9" s="70">
        <f>ROUND(12*770/365.25,0)</f>
        <v>25</v>
      </c>
      <c r="H9" s="71">
        <f>ROUND(2.1*12,0)</f>
        <v>25</v>
      </c>
      <c r="I9" s="58">
        <v>12</v>
      </c>
      <c r="J9" s="72">
        <f>ROUND(12*1.28,0)</f>
        <v>15</v>
      </c>
      <c r="K9" s="24"/>
      <c r="L9" s="24" t="s">
        <v>110</v>
      </c>
      <c r="M9" s="24"/>
      <c r="N9" s="24"/>
      <c r="O9" s="16"/>
      <c r="P9" s="7" t="s">
        <v>19</v>
      </c>
      <c r="Q9" s="6" t="s">
        <v>20</v>
      </c>
      <c r="R9" s="129"/>
      <c r="S9" s="8"/>
    </row>
    <row r="10" spans="1:20" ht="75" x14ac:dyDescent="0.25">
      <c r="A10" s="46" t="s">
        <v>111</v>
      </c>
      <c r="B10" s="37"/>
      <c r="C10" s="73" t="s">
        <v>140</v>
      </c>
      <c r="D10" s="47" t="s">
        <v>82</v>
      </c>
      <c r="E10" s="56" t="s">
        <v>91</v>
      </c>
      <c r="F10" s="73" t="s">
        <v>140</v>
      </c>
      <c r="G10" s="47">
        <f>ROUND(12*175/365.25,0)</f>
        <v>6</v>
      </c>
      <c r="H10" s="66" t="s">
        <v>131</v>
      </c>
      <c r="I10" s="47">
        <f>ROUND(12*375/365.25,0)</f>
        <v>12</v>
      </c>
      <c r="J10" s="48">
        <f>ROUND(12*199/365.25,0)</f>
        <v>7</v>
      </c>
      <c r="K10" t="s">
        <v>112</v>
      </c>
      <c r="L10" s="2" t="s">
        <v>113</v>
      </c>
      <c r="M10" t="s">
        <v>114</v>
      </c>
      <c r="N10" t="s">
        <v>108</v>
      </c>
      <c r="O10" s="9" t="s">
        <v>21</v>
      </c>
      <c r="P10" s="10" t="s">
        <v>115</v>
      </c>
      <c r="Q10" s="10"/>
      <c r="R10" s="27" t="s">
        <v>7</v>
      </c>
      <c r="S10" s="12"/>
      <c r="T10" s="17" t="s">
        <v>141</v>
      </c>
    </row>
    <row r="11" spans="1:20" ht="15.75" thickBot="1" x14ac:dyDescent="0.3">
      <c r="A11" s="43" t="s">
        <v>111</v>
      </c>
      <c r="B11" s="74"/>
      <c r="C11" s="75" t="s">
        <v>142</v>
      </c>
      <c r="D11" s="44" t="s">
        <v>82</v>
      </c>
      <c r="E11" s="58" t="s">
        <v>91</v>
      </c>
      <c r="F11" s="75" t="s">
        <v>142</v>
      </c>
      <c r="G11" s="44">
        <f>ROUND(12*300/365.25,0)</f>
        <v>10</v>
      </c>
      <c r="H11" s="71">
        <f>ROUND(12*76/365.25,0)</f>
        <v>2</v>
      </c>
      <c r="I11" s="44">
        <f>ROUND(12*375/365.25,0)</f>
        <v>12</v>
      </c>
      <c r="J11" s="45">
        <f>ROUND(12*137/365.25,0)</f>
        <v>5</v>
      </c>
      <c r="L11" s="2"/>
      <c r="O11" s="40"/>
      <c r="P11" s="3"/>
      <c r="Q11" s="3"/>
      <c r="R11" s="107"/>
      <c r="S11" s="5"/>
      <c r="T11" s="17"/>
    </row>
    <row r="12" spans="1:20" x14ac:dyDescent="0.25">
      <c r="A12" s="46" t="s">
        <v>117</v>
      </c>
      <c r="B12" s="37"/>
      <c r="C12" s="73" t="s">
        <v>143</v>
      </c>
      <c r="D12" s="47" t="s">
        <v>90</v>
      </c>
      <c r="E12" s="73" t="s">
        <v>144</v>
      </c>
      <c r="F12" s="73" t="s">
        <v>143</v>
      </c>
      <c r="G12" s="73" t="s">
        <v>131</v>
      </c>
      <c r="H12" s="73" t="s">
        <v>131</v>
      </c>
      <c r="I12" s="73">
        <f>13*12/52</f>
        <v>3</v>
      </c>
      <c r="J12" s="76">
        <v>3</v>
      </c>
      <c r="K12" t="s">
        <v>119</v>
      </c>
      <c r="M12" t="s">
        <v>120</v>
      </c>
      <c r="N12" t="s">
        <v>108</v>
      </c>
      <c r="O12" t="s">
        <v>24</v>
      </c>
      <c r="P12" s="4" t="s">
        <v>25</v>
      </c>
      <c r="Q12" s="4" t="s">
        <v>26</v>
      </c>
      <c r="R12" s="124" t="s">
        <v>7</v>
      </c>
      <c r="S12" s="5" t="s">
        <v>27</v>
      </c>
      <c r="T12" t="s">
        <v>145</v>
      </c>
    </row>
    <row r="13" spans="1:20" ht="15.75" thickBot="1" x14ac:dyDescent="0.3">
      <c r="A13" s="43" t="s">
        <v>117</v>
      </c>
      <c r="B13" s="74"/>
      <c r="C13" s="75" t="s">
        <v>146</v>
      </c>
      <c r="D13" s="44" t="s">
        <v>90</v>
      </c>
      <c r="E13" s="75" t="s">
        <v>144</v>
      </c>
      <c r="F13" s="75" t="s">
        <v>146</v>
      </c>
      <c r="G13" s="75" t="s">
        <v>131</v>
      </c>
      <c r="H13" s="75" t="s">
        <v>131</v>
      </c>
      <c r="I13" s="74">
        <f>13*12/52</f>
        <v>3</v>
      </c>
      <c r="J13" s="77">
        <v>14</v>
      </c>
      <c r="O13" s="16"/>
      <c r="P13" s="6"/>
      <c r="Q13" s="7" t="s">
        <v>28</v>
      </c>
      <c r="R13" s="125"/>
      <c r="S13" s="8"/>
    </row>
    <row r="14" spans="1:20" x14ac:dyDescent="0.25">
      <c r="K14" t="str">
        <f>" (Also considered "&amp;ROUND(62*(12/52),0)&amp;" and "&amp;ROUND(72*(12/52),0)</f>
        <v xml:space="preserve"> (Also considered 14 and 17</v>
      </c>
    </row>
  </sheetData>
  <mergeCells count="2">
    <mergeCell ref="R8:R9"/>
    <mergeCell ref="R12:R13"/>
  </mergeCells>
  <hyperlinks>
    <hyperlink ref="Q3" r:id="rId1" display="https://www.nice.org.uk/guidance/ta396/documents/committee-papers" xr:uid="{EFD09412-1AFB-42C6-9C9F-427FF06B309B}"/>
    <hyperlink ref="Q7" r:id="rId2" xr:uid="{B5BA784B-EB5D-41FC-A2EA-9071A66C3A2B}"/>
    <hyperlink ref="Q12" r:id="rId3" display="https://www.nice.org.uk/guidance/ta650/documents/1-2" xr:uid="{5C66D68E-DB0D-4D6E-ABEC-C7B34BC8C99F}"/>
    <hyperlink ref="Q13" r:id="rId4" display="https://www.nice.org.uk/guidance/ta650/documents/1" xr:uid="{0CC79279-720B-4CE6-8BE8-2A29FAE3C95B}"/>
    <hyperlink ref="P9" r:id="rId5" xr:uid="{E15C781C-5415-414E-BAAB-11ED6922C98B}"/>
    <hyperlink ref="N5" r:id="rId6" display="Y" xr:uid="{7A426ADF-3809-40DD-83ED-4056D536B91A}"/>
    <hyperlink ref="N3" r:id="rId7" xr:uid="{1F84C124-B2B4-4F04-8AD1-A1387E1BD120}"/>
    <hyperlink ref="N7" r:id="rId8" xr:uid="{45274B0C-5FB5-40E9-A95B-0EDE76CCF609}"/>
  </hyperlinks>
  <pageMargins left="0.7" right="0.7" top="0.75" bottom="0.75" header="0.3" footer="0.3"/>
  <pageSetup orientation="portrait" r:id="rId9"/>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1676C-E253-480B-ADCA-8AFC389B3AE2}">
  <dimension ref="A1:T14"/>
  <sheetViews>
    <sheetView topLeftCell="D1" workbookViewId="0">
      <selection activeCell="E10" sqref="E10"/>
    </sheetView>
  </sheetViews>
  <sheetFormatPr defaultRowHeight="15" x14ac:dyDescent="0.25"/>
  <cols>
    <col min="1" max="1" width="30.42578125" customWidth="1"/>
    <col min="2" max="3" width="43" customWidth="1"/>
    <col min="4" max="4" width="23.85546875" customWidth="1"/>
    <col min="5" max="6" width="43" customWidth="1"/>
    <col min="7" max="7" width="35.28515625" customWidth="1"/>
    <col min="8" max="10" width="32.7109375" customWidth="1"/>
    <col min="11" max="14" width="43" customWidth="1"/>
    <col min="15" max="15" width="63.85546875" customWidth="1"/>
    <col min="16" max="16" width="40.42578125" customWidth="1"/>
    <col min="17" max="17" width="57.85546875" customWidth="1"/>
    <col min="18" max="18" width="46.28515625" customWidth="1"/>
    <col min="19" max="19" width="29.85546875" customWidth="1"/>
    <col min="20" max="20" width="25" customWidth="1"/>
  </cols>
  <sheetData>
    <row r="1" spans="1:20" ht="15.75" thickBot="1" x14ac:dyDescent="0.3">
      <c r="A1" s="36">
        <f>COUNTA($A$2:A2)</f>
        <v>1</v>
      </c>
      <c r="B1" s="36">
        <f>COUNTA($A$2:B2)</f>
        <v>2</v>
      </c>
      <c r="C1" s="36">
        <f>COUNTA($A$2:C2)</f>
        <v>3</v>
      </c>
      <c r="D1" s="36">
        <f>COUNTA($A$2:D2)</f>
        <v>4</v>
      </c>
      <c r="E1" s="36">
        <f>COUNTA($A$2:E2)</f>
        <v>5</v>
      </c>
      <c r="F1" s="36">
        <f>COUNTA($A$2:F2)</f>
        <v>6</v>
      </c>
      <c r="G1" s="51" t="s">
        <v>122</v>
      </c>
      <c r="H1" s="39"/>
      <c r="I1" s="38" t="s">
        <v>123</v>
      </c>
      <c r="J1" s="39"/>
      <c r="K1" s="36">
        <f>COUNTA($A$2:K2)</f>
        <v>11</v>
      </c>
    </row>
    <row r="2" spans="1:20" ht="41.25" customHeight="1" thickBot="1" x14ac:dyDescent="0.3">
      <c r="A2" s="49" t="s">
        <v>73</v>
      </c>
      <c r="B2" s="50" t="s">
        <v>3</v>
      </c>
      <c r="C2" s="50" t="s">
        <v>124</v>
      </c>
      <c r="D2" s="50" t="s">
        <v>74</v>
      </c>
      <c r="E2" s="50" t="s">
        <v>75</v>
      </c>
      <c r="F2" s="50" t="s">
        <v>125</v>
      </c>
      <c r="G2" s="52" t="s">
        <v>126</v>
      </c>
      <c r="H2" s="54" t="s">
        <v>127</v>
      </c>
      <c r="I2" s="53" t="s">
        <v>126</v>
      </c>
      <c r="J2" s="54" t="s">
        <v>127</v>
      </c>
      <c r="K2" t="s">
        <v>76</v>
      </c>
      <c r="L2" t="s">
        <v>77</v>
      </c>
      <c r="M2" t="s">
        <v>3</v>
      </c>
      <c r="N2" t="s">
        <v>78</v>
      </c>
      <c r="O2" t="s">
        <v>0</v>
      </c>
      <c r="P2" t="s">
        <v>1</v>
      </c>
      <c r="Q2" t="s">
        <v>0</v>
      </c>
      <c r="R2" t="s">
        <v>2</v>
      </c>
      <c r="S2" t="s">
        <v>3</v>
      </c>
      <c r="T2" t="s">
        <v>79</v>
      </c>
    </row>
    <row r="3" spans="1:20" ht="150.75" thickBot="1" x14ac:dyDescent="0.3">
      <c r="A3" s="46" t="s">
        <v>80</v>
      </c>
      <c r="B3" s="47" t="s">
        <v>81</v>
      </c>
      <c r="C3" s="47" t="s">
        <v>128</v>
      </c>
      <c r="D3" s="47" t="s">
        <v>147</v>
      </c>
      <c r="E3" s="47" t="s">
        <v>148</v>
      </c>
      <c r="F3" s="47" t="s">
        <v>149</v>
      </c>
      <c r="G3" s="47">
        <v>18.600000000000001</v>
      </c>
      <c r="H3" s="47">
        <v>18.3</v>
      </c>
      <c r="I3" s="47">
        <v>11.8</v>
      </c>
      <c r="J3" s="48">
        <v>16.399999999999999</v>
      </c>
      <c r="K3" s="25" t="s">
        <v>84</v>
      </c>
      <c r="L3" s="25" t="s">
        <v>85</v>
      </c>
      <c r="M3" s="25" t="s">
        <v>86</v>
      </c>
      <c r="N3" s="34" t="s">
        <v>87</v>
      </c>
      <c r="O3" s="9" t="s">
        <v>4</v>
      </c>
      <c r="P3" s="13" t="s">
        <v>5</v>
      </c>
      <c r="Q3" s="11" t="s">
        <v>6</v>
      </c>
      <c r="R3" s="26" t="s">
        <v>7</v>
      </c>
      <c r="S3" s="12"/>
      <c r="T3" s="20" t="s">
        <v>88</v>
      </c>
    </row>
    <row r="4" spans="1:20" ht="30.75" thickBot="1" x14ac:dyDescent="0.3">
      <c r="A4" s="41" t="s">
        <v>80</v>
      </c>
      <c r="B4" s="23"/>
      <c r="C4" s="23" t="s">
        <v>130</v>
      </c>
      <c r="D4" s="47" t="s">
        <v>147</v>
      </c>
      <c r="E4" s="47" t="s">
        <v>148</v>
      </c>
      <c r="F4" s="23" t="s">
        <v>150</v>
      </c>
      <c r="G4" s="23">
        <v>3.2</v>
      </c>
      <c r="H4" s="23" t="s">
        <v>131</v>
      </c>
      <c r="I4" s="23">
        <v>12.5</v>
      </c>
      <c r="J4" s="42">
        <v>14.9</v>
      </c>
      <c r="K4" s="25"/>
      <c r="L4" s="25"/>
      <c r="M4" s="25"/>
      <c r="N4" s="34"/>
      <c r="O4" s="9"/>
      <c r="P4" s="13"/>
      <c r="Q4" s="11"/>
      <c r="R4" s="26"/>
      <c r="S4" s="12"/>
      <c r="T4" s="20"/>
    </row>
    <row r="5" spans="1:20" ht="60" x14ac:dyDescent="0.25">
      <c r="A5" s="46" t="s">
        <v>50</v>
      </c>
      <c r="B5" s="56" t="s">
        <v>89</v>
      </c>
      <c r="C5" s="47" t="s">
        <v>132</v>
      </c>
      <c r="D5" s="56" t="s">
        <v>90</v>
      </c>
      <c r="E5" s="56" t="s">
        <v>91</v>
      </c>
      <c r="F5" s="47" t="s">
        <v>132</v>
      </c>
      <c r="G5" s="47" t="s">
        <v>131</v>
      </c>
      <c r="H5" s="47" t="s">
        <v>131</v>
      </c>
      <c r="I5" s="47">
        <v>4</v>
      </c>
      <c r="J5" s="57">
        <v>4.5999999999999996</v>
      </c>
      <c r="K5" s="22" t="s">
        <v>92</v>
      </c>
      <c r="L5" s="22" t="s">
        <v>93</v>
      </c>
      <c r="M5" s="22"/>
      <c r="N5" s="33" t="s">
        <v>94</v>
      </c>
      <c r="O5" s="9" t="s">
        <v>8</v>
      </c>
      <c r="P5" s="10" t="s">
        <v>9</v>
      </c>
      <c r="Q5" s="13" t="s">
        <v>95</v>
      </c>
      <c r="R5" s="26" t="s">
        <v>7</v>
      </c>
      <c r="S5" s="12"/>
      <c r="T5" s="17" t="s">
        <v>96</v>
      </c>
    </row>
    <row r="6" spans="1:20" ht="15.75" thickBot="1" x14ac:dyDescent="0.3">
      <c r="A6" s="43" t="s">
        <v>50</v>
      </c>
      <c r="B6" s="58"/>
      <c r="C6" s="44" t="s">
        <v>134</v>
      </c>
      <c r="D6" s="58" t="s">
        <v>90</v>
      </c>
      <c r="E6" s="58" t="s">
        <v>91</v>
      </c>
      <c r="F6" s="44" t="s">
        <v>134</v>
      </c>
      <c r="G6" s="58" t="s">
        <v>131</v>
      </c>
      <c r="H6" s="58" t="s">
        <v>131</v>
      </c>
      <c r="I6" s="58">
        <v>4</v>
      </c>
      <c r="J6" s="59">
        <v>1.6</v>
      </c>
      <c r="K6" s="22"/>
      <c r="L6" s="22"/>
      <c r="M6" s="22"/>
      <c r="N6" s="33"/>
      <c r="O6" s="14"/>
      <c r="P6" s="3"/>
      <c r="Q6" s="55"/>
      <c r="R6" s="108"/>
      <c r="S6" s="5"/>
      <c r="T6" s="17"/>
    </row>
    <row r="7" spans="1:20" ht="60.75" thickBot="1" x14ac:dyDescent="0.3">
      <c r="A7" s="60" t="s">
        <v>51</v>
      </c>
      <c r="B7" s="61" t="s">
        <v>97</v>
      </c>
      <c r="C7" s="61" t="s">
        <v>135</v>
      </c>
      <c r="D7" s="61" t="s">
        <v>151</v>
      </c>
      <c r="E7" s="61" t="s">
        <v>91</v>
      </c>
      <c r="F7" s="61" t="s">
        <v>135</v>
      </c>
      <c r="G7" s="61">
        <f>ROUND(52*(12/52),0)</f>
        <v>12</v>
      </c>
      <c r="H7" s="61">
        <v>12.2</v>
      </c>
      <c r="I7" s="61" t="s">
        <v>131</v>
      </c>
      <c r="J7" s="62" t="s">
        <v>131</v>
      </c>
      <c r="K7" s="23" t="s">
        <v>100</v>
      </c>
      <c r="L7" s="23" t="s">
        <v>101</v>
      </c>
      <c r="M7" s="23" t="s">
        <v>102</v>
      </c>
      <c r="N7" s="35" t="s">
        <v>87</v>
      </c>
      <c r="O7" s="105" t="s">
        <v>103</v>
      </c>
      <c r="P7" s="3" t="s">
        <v>12</v>
      </c>
      <c r="Q7" s="4" t="s">
        <v>13</v>
      </c>
      <c r="R7" s="108" t="s">
        <v>7</v>
      </c>
      <c r="S7" s="15" t="s">
        <v>14</v>
      </c>
      <c r="T7" s="21" t="s">
        <v>104</v>
      </c>
    </row>
    <row r="8" spans="1:20" ht="75" x14ac:dyDescent="0.25">
      <c r="A8" s="63" t="s">
        <v>52</v>
      </c>
      <c r="B8" s="64"/>
      <c r="C8" s="64" t="s">
        <v>137</v>
      </c>
      <c r="D8" s="47" t="s">
        <v>82</v>
      </c>
      <c r="E8" s="56" t="s">
        <v>91</v>
      </c>
      <c r="F8" s="64" t="s">
        <v>152</v>
      </c>
      <c r="G8" s="65">
        <f>ROUND(12*340/365.25,1)</f>
        <v>11.2</v>
      </c>
      <c r="H8" s="66">
        <v>13.8</v>
      </c>
      <c r="I8" s="56">
        <f>ROUND(12*190/365.25,1)</f>
        <v>6.2</v>
      </c>
      <c r="J8" s="67">
        <v>6.8</v>
      </c>
      <c r="K8" s="28" t="s">
        <v>105</v>
      </c>
      <c r="L8" s="24" t="s">
        <v>106</v>
      </c>
      <c r="M8" s="30" t="s">
        <v>107</v>
      </c>
      <c r="N8" s="24" t="s">
        <v>108</v>
      </c>
      <c r="O8" s="14" t="s">
        <v>16</v>
      </c>
      <c r="P8" s="3" t="s">
        <v>17</v>
      </c>
      <c r="Q8" s="3" t="s">
        <v>18</v>
      </c>
      <c r="R8" s="128" t="s">
        <v>7</v>
      </c>
      <c r="S8" s="5"/>
      <c r="T8" s="20" t="s">
        <v>109</v>
      </c>
    </row>
    <row r="9" spans="1:20" ht="15.75" thickBot="1" x14ac:dyDescent="0.3">
      <c r="A9" s="68" t="s">
        <v>52</v>
      </c>
      <c r="B9" s="69"/>
      <c r="C9" s="69" t="s">
        <v>139</v>
      </c>
      <c r="D9" s="44" t="s">
        <v>82</v>
      </c>
      <c r="E9" s="58" t="s">
        <v>91</v>
      </c>
      <c r="F9" s="69" t="s">
        <v>153</v>
      </c>
      <c r="G9" s="70">
        <f>ROUND(12*770/365.25,1)</f>
        <v>25.3</v>
      </c>
      <c r="H9" s="71">
        <v>25.4</v>
      </c>
      <c r="I9" s="58">
        <v>12</v>
      </c>
      <c r="J9" s="72">
        <v>14.6</v>
      </c>
      <c r="K9" s="24"/>
      <c r="L9" s="24" t="s">
        <v>110</v>
      </c>
      <c r="M9" s="24"/>
      <c r="N9" s="24"/>
      <c r="O9" s="16"/>
      <c r="P9" s="7" t="s">
        <v>19</v>
      </c>
      <c r="Q9" s="6" t="s">
        <v>20</v>
      </c>
      <c r="R9" s="129"/>
      <c r="S9" s="8"/>
    </row>
    <row r="10" spans="1:20" ht="75" x14ac:dyDescent="0.25">
      <c r="A10" s="46" t="s">
        <v>111</v>
      </c>
      <c r="B10" s="37"/>
      <c r="C10" s="73" t="s">
        <v>154</v>
      </c>
      <c r="D10" s="47" t="s">
        <v>82</v>
      </c>
      <c r="E10" s="56" t="s">
        <v>91</v>
      </c>
      <c r="F10" s="73" t="s">
        <v>155</v>
      </c>
      <c r="G10" s="47">
        <f>ROUND(12*175/365.25,1)</f>
        <v>5.7</v>
      </c>
      <c r="H10" s="66" t="s">
        <v>131</v>
      </c>
      <c r="I10" s="47">
        <f>ROUND(12*375/365.25,1)</f>
        <v>12.3</v>
      </c>
      <c r="J10" s="48">
        <v>6.7</v>
      </c>
      <c r="K10" t="s">
        <v>112</v>
      </c>
      <c r="L10" s="2" t="s">
        <v>113</v>
      </c>
      <c r="M10" t="s">
        <v>114</v>
      </c>
      <c r="N10" t="s">
        <v>108</v>
      </c>
      <c r="O10" s="9" t="s">
        <v>21</v>
      </c>
      <c r="P10" s="10" t="s">
        <v>115</v>
      </c>
      <c r="Q10" s="10"/>
      <c r="R10" s="27" t="s">
        <v>7</v>
      </c>
      <c r="S10" s="12"/>
      <c r="T10" s="17" t="s">
        <v>116</v>
      </c>
    </row>
    <row r="11" spans="1:20" ht="15.75" thickBot="1" x14ac:dyDescent="0.3">
      <c r="A11" s="43" t="s">
        <v>111</v>
      </c>
      <c r="B11" s="74"/>
      <c r="C11" s="75" t="s">
        <v>142</v>
      </c>
      <c r="D11" s="44" t="s">
        <v>82</v>
      </c>
      <c r="E11" s="58" t="s">
        <v>91</v>
      </c>
      <c r="F11" s="75" t="s">
        <v>156</v>
      </c>
      <c r="G11" s="44">
        <f>ROUND(12*300/365.25,1)</f>
        <v>9.9</v>
      </c>
      <c r="H11" s="71">
        <v>2.5</v>
      </c>
      <c r="I11" s="44">
        <f>ROUND(12*375/365.25,1)</f>
        <v>12.3</v>
      </c>
      <c r="J11" s="45">
        <v>4.5</v>
      </c>
      <c r="L11" s="2"/>
      <c r="O11" s="40"/>
      <c r="P11" s="3"/>
      <c r="Q11" s="3"/>
      <c r="R11" s="107"/>
      <c r="S11" s="5"/>
      <c r="T11" s="17"/>
    </row>
    <row r="12" spans="1:20" x14ac:dyDescent="0.25">
      <c r="A12" s="46" t="s">
        <v>117</v>
      </c>
      <c r="B12" s="37"/>
      <c r="C12" s="73" t="s">
        <v>143</v>
      </c>
      <c r="D12" s="47" t="s">
        <v>90</v>
      </c>
      <c r="E12" s="73" t="s">
        <v>144</v>
      </c>
      <c r="F12" s="73" t="s">
        <v>157</v>
      </c>
      <c r="G12" s="73" t="s">
        <v>131</v>
      </c>
      <c r="H12" s="73" t="s">
        <v>131</v>
      </c>
      <c r="I12" s="73">
        <f>13*12/52</f>
        <v>3</v>
      </c>
      <c r="J12" s="76">
        <v>3</v>
      </c>
      <c r="K12" t="s">
        <v>119</v>
      </c>
      <c r="M12" t="s">
        <v>120</v>
      </c>
      <c r="N12" t="s">
        <v>108</v>
      </c>
      <c r="O12" t="s">
        <v>24</v>
      </c>
      <c r="P12" s="4" t="s">
        <v>25</v>
      </c>
      <c r="Q12" s="4" t="s">
        <v>26</v>
      </c>
      <c r="R12" s="124" t="s">
        <v>7</v>
      </c>
      <c r="S12" s="5" t="s">
        <v>27</v>
      </c>
      <c r="T12" t="s">
        <v>121</v>
      </c>
    </row>
    <row r="13" spans="1:20" ht="15.75" thickBot="1" x14ac:dyDescent="0.3">
      <c r="A13" s="43" t="s">
        <v>117</v>
      </c>
      <c r="B13" s="74"/>
      <c r="C13" s="75" t="s">
        <v>146</v>
      </c>
      <c r="D13" s="44" t="s">
        <v>90</v>
      </c>
      <c r="E13" s="75" t="s">
        <v>144</v>
      </c>
      <c r="F13" s="75" t="s">
        <v>158</v>
      </c>
      <c r="G13" s="75" t="s">
        <v>131</v>
      </c>
      <c r="H13" s="75" t="s">
        <v>131</v>
      </c>
      <c r="I13" s="74">
        <v>3</v>
      </c>
      <c r="J13" s="77">
        <v>14</v>
      </c>
      <c r="K13" t="str">
        <f>" (Also considered "&amp;ROUND(62*(12/52),0)&amp;" and "&amp;ROUND(72*(12/52),0)</f>
        <v xml:space="preserve"> (Also considered 14 and 17</v>
      </c>
      <c r="O13" s="16"/>
      <c r="P13" s="6"/>
      <c r="Q13" s="7" t="s">
        <v>28</v>
      </c>
      <c r="R13" s="125"/>
      <c r="S13" s="8"/>
    </row>
    <row r="14" spans="1:20" x14ac:dyDescent="0.25">
      <c r="A14" t="s">
        <v>159</v>
      </c>
      <c r="C14" s="32" t="s">
        <v>135</v>
      </c>
      <c r="D14" s="32" t="s">
        <v>160</v>
      </c>
      <c r="E14" s="56" t="s">
        <v>91</v>
      </c>
      <c r="F14" s="32" t="s">
        <v>135</v>
      </c>
      <c r="G14">
        <v>5.0999999999999996</v>
      </c>
      <c r="H14">
        <v>6.3</v>
      </c>
      <c r="I14" t="s">
        <v>131</v>
      </c>
      <c r="J14" t="s">
        <v>131</v>
      </c>
    </row>
  </sheetData>
  <mergeCells count="2">
    <mergeCell ref="R8:R9"/>
    <mergeCell ref="R12:R13"/>
  </mergeCells>
  <hyperlinks>
    <hyperlink ref="Q3" r:id="rId1" display="https://www.nice.org.uk/guidance/ta396/documents/committee-papers" xr:uid="{76E92CB4-4C34-4444-81CF-22A7FD756016}"/>
    <hyperlink ref="Q7" r:id="rId2" xr:uid="{BB613C94-D6F6-44BC-AE83-E0752B3C72C5}"/>
    <hyperlink ref="Q12" r:id="rId3" display="https://www.nice.org.uk/guidance/ta650/documents/1-2" xr:uid="{4E8749E9-A614-44BC-A872-01B9C959700C}"/>
    <hyperlink ref="Q13" r:id="rId4" display="https://www.nice.org.uk/guidance/ta650/documents/1" xr:uid="{934D3B0B-1BCA-4EF8-ADAD-5023A5AB4951}"/>
    <hyperlink ref="P9" r:id="rId5" xr:uid="{93421C56-61B8-40A0-821E-82BFBF1C2ED4}"/>
    <hyperlink ref="N5" r:id="rId6" display="Y" xr:uid="{9983B7BD-3F5D-43F2-AFCC-9E87C27F05F9}"/>
    <hyperlink ref="N3" r:id="rId7" xr:uid="{2B8D2F09-C607-4446-853A-5A9185B6CDBE}"/>
    <hyperlink ref="N7" r:id="rId8" xr:uid="{304E94DD-62EC-44B9-9210-9D8C59CDD8FB}"/>
  </hyperlinks>
  <pageMargins left="0.7" right="0.7" top="0.75" bottom="0.75" header="0.3" footer="0.3"/>
  <pageSetup orientation="portrait" r:id="rId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312E7-50F4-4E5F-9BAA-DAA13D57C764}">
  <dimension ref="A1:D35"/>
  <sheetViews>
    <sheetView tabSelected="1" workbookViewId="0">
      <selection activeCell="B8" sqref="B8"/>
    </sheetView>
  </sheetViews>
  <sheetFormatPr defaultRowHeight="15" x14ac:dyDescent="0.25"/>
  <cols>
    <col min="1" max="1" width="33.5703125" customWidth="1"/>
    <col min="2" max="2" width="100.7109375" customWidth="1"/>
    <col min="3" max="3" width="22.5703125" customWidth="1"/>
    <col min="4" max="4" width="24.85546875" customWidth="1"/>
  </cols>
  <sheetData>
    <row r="1" spans="1:4" ht="45" x14ac:dyDescent="0.25">
      <c r="A1" s="101" t="s">
        <v>161</v>
      </c>
      <c r="B1" s="101" t="s">
        <v>162</v>
      </c>
      <c r="C1" s="102" t="s">
        <v>163</v>
      </c>
      <c r="D1" s="101" t="s">
        <v>164</v>
      </c>
    </row>
    <row r="2" spans="1:4" ht="75" x14ac:dyDescent="0.25">
      <c r="A2">
        <v>15</v>
      </c>
      <c r="B2" s="2" t="s">
        <v>165</v>
      </c>
      <c r="C2" t="s">
        <v>31</v>
      </c>
    </row>
    <row r="3" spans="1:4" ht="45" x14ac:dyDescent="0.25">
      <c r="A3">
        <v>17</v>
      </c>
      <c r="B3" s="2" t="s">
        <v>166</v>
      </c>
      <c r="C3" s="82" t="s">
        <v>52</v>
      </c>
    </row>
    <row r="4" spans="1:4" ht="60" x14ac:dyDescent="0.25">
      <c r="A4">
        <v>20</v>
      </c>
      <c r="B4" s="2" t="s">
        <v>167</v>
      </c>
      <c r="C4" t="s">
        <v>38</v>
      </c>
    </row>
    <row r="5" spans="1:4" ht="60" x14ac:dyDescent="0.25">
      <c r="A5">
        <v>30</v>
      </c>
      <c r="B5" s="2" t="s">
        <v>168</v>
      </c>
      <c r="C5" t="s">
        <v>53</v>
      </c>
    </row>
    <row r="6" spans="1:4" ht="75" x14ac:dyDescent="0.25">
      <c r="A6">
        <v>38</v>
      </c>
      <c r="B6" s="2" t="s">
        <v>169</v>
      </c>
      <c r="C6" t="s">
        <v>170</v>
      </c>
    </row>
    <row r="7" spans="1:4" ht="45" x14ac:dyDescent="0.25">
      <c r="A7">
        <v>40</v>
      </c>
      <c r="B7" s="2" t="s">
        <v>171</v>
      </c>
      <c r="C7" t="s">
        <v>42</v>
      </c>
    </row>
    <row r="8" spans="1:4" ht="60" x14ac:dyDescent="0.25">
      <c r="A8">
        <v>41</v>
      </c>
      <c r="B8" s="2" t="s">
        <v>172</v>
      </c>
      <c r="C8" t="s">
        <v>173</v>
      </c>
    </row>
    <row r="9" spans="1:4" ht="60" x14ac:dyDescent="0.25">
      <c r="A9">
        <v>72</v>
      </c>
      <c r="B9" s="2" t="s">
        <v>174</v>
      </c>
      <c r="C9" t="s">
        <v>175</v>
      </c>
    </row>
    <row r="10" spans="1:4" x14ac:dyDescent="0.25">
      <c r="A10">
        <v>49</v>
      </c>
      <c r="B10" t="s">
        <v>320</v>
      </c>
      <c r="C10" t="s">
        <v>319</v>
      </c>
    </row>
    <row r="11" spans="1:4" ht="45" x14ac:dyDescent="0.25">
      <c r="A11">
        <v>54</v>
      </c>
      <c r="B11" s="2" t="s">
        <v>176</v>
      </c>
      <c r="C11" s="82" t="s">
        <v>80</v>
      </c>
    </row>
    <row r="12" spans="1:4" ht="75" x14ac:dyDescent="0.25">
      <c r="A12">
        <v>56</v>
      </c>
      <c r="B12" s="2" t="s">
        <v>177</v>
      </c>
      <c r="C12" t="s">
        <v>178</v>
      </c>
    </row>
    <row r="13" spans="1:4" ht="75" x14ac:dyDescent="0.25">
      <c r="A13">
        <v>64</v>
      </c>
      <c r="B13" s="2" t="s">
        <v>179</v>
      </c>
      <c r="C13" t="s">
        <v>180</v>
      </c>
    </row>
    <row r="14" spans="1:4" ht="60" x14ac:dyDescent="0.25">
      <c r="A14">
        <v>66</v>
      </c>
      <c r="B14" s="2" t="s">
        <v>181</v>
      </c>
      <c r="C14" t="s">
        <v>182</v>
      </c>
    </row>
    <row r="15" spans="1:4" ht="60" x14ac:dyDescent="0.25">
      <c r="A15">
        <v>68</v>
      </c>
      <c r="B15" s="2" t="s">
        <v>183</v>
      </c>
      <c r="C15" s="82" t="s">
        <v>51</v>
      </c>
    </row>
    <row r="16" spans="1:4" ht="60" x14ac:dyDescent="0.25">
      <c r="A16">
        <v>18</v>
      </c>
      <c r="B16" s="2" t="s">
        <v>184</v>
      </c>
      <c r="C16" s="82" t="s">
        <v>50</v>
      </c>
      <c r="D16" t="s">
        <v>185</v>
      </c>
    </row>
    <row r="17" spans="1:4" ht="75" x14ac:dyDescent="0.25">
      <c r="A17">
        <v>37</v>
      </c>
      <c r="B17" s="2" t="s">
        <v>186</v>
      </c>
      <c r="C17" s="82" t="s">
        <v>111</v>
      </c>
      <c r="D17" t="s">
        <v>185</v>
      </c>
    </row>
    <row r="18" spans="1:4" ht="30" x14ac:dyDescent="0.25">
      <c r="A18" t="s">
        <v>187</v>
      </c>
      <c r="B18" s="2" t="s">
        <v>188</v>
      </c>
      <c r="C18" s="82" t="s">
        <v>159</v>
      </c>
      <c r="D18" t="s">
        <v>189</v>
      </c>
    </row>
    <row r="20" spans="1:4" x14ac:dyDescent="0.25">
      <c r="A20" s="82" t="s">
        <v>190</v>
      </c>
      <c r="B20" s="2"/>
    </row>
    <row r="21" spans="1:4" x14ac:dyDescent="0.25">
      <c r="B21" s="2"/>
    </row>
    <row r="22" spans="1:4" x14ac:dyDescent="0.25">
      <c r="B22" s="2"/>
    </row>
    <row r="23" spans="1:4" x14ac:dyDescent="0.25">
      <c r="B23" s="2"/>
    </row>
    <row r="24" spans="1:4" x14ac:dyDescent="0.25">
      <c r="B24" s="2"/>
    </row>
    <row r="25" spans="1:4" x14ac:dyDescent="0.25">
      <c r="A25" s="101" t="s">
        <v>191</v>
      </c>
      <c r="B25" s="81"/>
    </row>
    <row r="26" spans="1:4" x14ac:dyDescent="0.25">
      <c r="B26" s="80"/>
    </row>
    <row r="27" spans="1:4" x14ac:dyDescent="0.25">
      <c r="B27" s="2"/>
    </row>
    <row r="28" spans="1:4" x14ac:dyDescent="0.25">
      <c r="B28" s="2"/>
    </row>
    <row r="29" spans="1:4" x14ac:dyDescent="0.25">
      <c r="B29" s="2"/>
    </row>
    <row r="30" spans="1:4" x14ac:dyDescent="0.25">
      <c r="B30" s="2"/>
    </row>
    <row r="31" spans="1:4" x14ac:dyDescent="0.25">
      <c r="B31" s="2"/>
    </row>
    <row r="32" spans="1:4" x14ac:dyDescent="0.25">
      <c r="B32" s="2"/>
    </row>
    <row r="33" spans="2:2" x14ac:dyDescent="0.25">
      <c r="B33" s="2"/>
    </row>
    <row r="34" spans="2:2" x14ac:dyDescent="0.25">
      <c r="B34" s="2"/>
    </row>
    <row r="35" spans="2:2" x14ac:dyDescent="0.25">
      <c r="B35" s="2"/>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12291-CDDF-48D2-919C-882565DF0684}">
  <dimension ref="B1:H6"/>
  <sheetViews>
    <sheetView workbookViewId="0">
      <selection activeCell="B1" sqref="B1:E3"/>
    </sheetView>
  </sheetViews>
  <sheetFormatPr defaultRowHeight="15" x14ac:dyDescent="0.25"/>
  <cols>
    <col min="2" max="3" width="20.42578125" customWidth="1"/>
    <col min="4" max="4" width="26.28515625" customWidth="1"/>
    <col min="5" max="5" width="51.5703125" customWidth="1"/>
  </cols>
  <sheetData>
    <row r="1" spans="2:8" x14ac:dyDescent="0.25">
      <c r="B1" s="86" t="s">
        <v>192</v>
      </c>
      <c r="C1" s="86" t="s">
        <v>193</v>
      </c>
      <c r="D1" s="86" t="s">
        <v>194</v>
      </c>
      <c r="E1" s="86" t="s">
        <v>195</v>
      </c>
    </row>
    <row r="2" spans="2:8" x14ac:dyDescent="0.25">
      <c r="B2" s="86" t="s">
        <v>196</v>
      </c>
      <c r="C2" s="86" t="s">
        <v>197</v>
      </c>
      <c r="D2" s="86" t="s">
        <v>198</v>
      </c>
      <c r="E2" s="87" t="s">
        <v>37</v>
      </c>
    </row>
    <row r="3" spans="2:8" x14ac:dyDescent="0.25">
      <c r="B3" s="86" t="s">
        <v>199</v>
      </c>
      <c r="C3" s="86" t="s">
        <v>197</v>
      </c>
      <c r="D3" s="86" t="s">
        <v>200</v>
      </c>
      <c r="E3" s="87" t="s">
        <v>34</v>
      </c>
    </row>
    <row r="6" spans="2:8" x14ac:dyDescent="0.25">
      <c r="B6" s="88" t="s">
        <v>201</v>
      </c>
      <c r="C6" s="88"/>
      <c r="H6" s="88" t="s">
        <v>199</v>
      </c>
    </row>
  </sheetData>
  <hyperlinks>
    <hyperlink ref="E2" r:id="rId1" xr:uid="{027F39E6-D875-4473-8FE9-51AA425B9290}"/>
    <hyperlink ref="E3" r:id="rId2" xr:uid="{55718302-68EB-414B-888C-91D0200C0C0E}"/>
  </hyperlinks>
  <pageMargins left="0.7" right="0.7" top="0.75" bottom="0.75" header="0.3" footer="0.3"/>
  <pageSetup paperSize="9" orientation="portrait"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6E5BF6-8255-4E9F-9D11-50AC1C31AF33}">
  <sheetPr>
    <tabColor rgb="FF00B050"/>
  </sheetPr>
  <dimension ref="B1:K62"/>
  <sheetViews>
    <sheetView topLeftCell="C43" zoomScale="130" zoomScaleNormal="130" workbookViewId="0">
      <selection activeCell="F52" sqref="F52"/>
    </sheetView>
  </sheetViews>
  <sheetFormatPr defaultRowHeight="15" x14ac:dyDescent="0.25"/>
  <cols>
    <col min="2" max="3" width="55.28515625" customWidth="1"/>
    <col min="4" max="4" width="76.42578125" customWidth="1"/>
    <col min="5" max="5" width="27.28515625" customWidth="1"/>
    <col min="9" max="9" width="14.28515625" customWidth="1"/>
  </cols>
  <sheetData>
    <row r="1" spans="2:10" x14ac:dyDescent="0.25">
      <c r="B1" s="86" t="s">
        <v>192</v>
      </c>
      <c r="C1" s="86" t="s">
        <v>193</v>
      </c>
      <c r="D1" s="86" t="s">
        <v>194</v>
      </c>
      <c r="E1" s="86" t="s">
        <v>195</v>
      </c>
    </row>
    <row r="2" spans="2:10" x14ac:dyDescent="0.25">
      <c r="B2" s="86" t="s">
        <v>196</v>
      </c>
      <c r="C2" s="86" t="s">
        <v>202</v>
      </c>
      <c r="D2" s="86" t="s">
        <v>203</v>
      </c>
      <c r="E2" s="87" t="s">
        <v>17</v>
      </c>
    </row>
    <row r="3" spans="2:10" x14ac:dyDescent="0.25">
      <c r="B3" s="86" t="s">
        <v>199</v>
      </c>
      <c r="C3" s="86" t="s">
        <v>204</v>
      </c>
      <c r="D3" s="86" t="s">
        <v>205</v>
      </c>
      <c r="E3" s="87" t="s">
        <v>19</v>
      </c>
    </row>
    <row r="4" spans="2:10" x14ac:dyDescent="0.25">
      <c r="B4" s="89" t="s">
        <v>206</v>
      </c>
      <c r="C4" s="89" t="s">
        <v>207</v>
      </c>
      <c r="D4" s="86" t="s">
        <v>208</v>
      </c>
      <c r="E4" s="87" t="s">
        <v>209</v>
      </c>
    </row>
    <row r="6" spans="2:10" x14ac:dyDescent="0.25">
      <c r="E6" s="93" t="s">
        <v>210</v>
      </c>
    </row>
    <row r="14" spans="2:10" x14ac:dyDescent="0.25">
      <c r="I14" t="s">
        <v>211</v>
      </c>
      <c r="J14">
        <f>770/365.25</f>
        <v>2.108145106091718</v>
      </c>
    </row>
    <row r="15" spans="2:10" x14ac:dyDescent="0.25">
      <c r="I15" t="s">
        <v>212</v>
      </c>
      <c r="J15">
        <f>J14*12</f>
        <v>25.297741273100616</v>
      </c>
    </row>
    <row r="57" spans="8:11" x14ac:dyDescent="0.25">
      <c r="I57" t="s">
        <v>213</v>
      </c>
      <c r="J57" t="s">
        <v>214</v>
      </c>
      <c r="K57" t="s">
        <v>215</v>
      </c>
    </row>
    <row r="58" spans="8:11" x14ac:dyDescent="0.25">
      <c r="H58" t="s">
        <v>216</v>
      </c>
      <c r="J58">
        <v>403</v>
      </c>
      <c r="K58">
        <v>137</v>
      </c>
    </row>
    <row r="59" spans="8:11" x14ac:dyDescent="0.25">
      <c r="H59" t="s">
        <v>217</v>
      </c>
      <c r="I59" s="103">
        <f>(J59*J62)+(K59*K62)</f>
        <v>55.904444444444451</v>
      </c>
      <c r="J59">
        <v>55.6</v>
      </c>
      <c r="K59">
        <v>56.8</v>
      </c>
    </row>
    <row r="60" spans="8:11" x14ac:dyDescent="0.25">
      <c r="H60" t="s">
        <v>218</v>
      </c>
      <c r="I60" s="103">
        <f>(J60*J62)+(K60*K62)</f>
        <v>0.6074074074074074</v>
      </c>
      <c r="J60">
        <f>247/J58</f>
        <v>0.61290322580645162</v>
      </c>
      <c r="K60">
        <f>81/K58</f>
        <v>0.59124087591240881</v>
      </c>
    </row>
    <row r="61" spans="8:11" x14ac:dyDescent="0.25">
      <c r="H61" t="s">
        <v>213</v>
      </c>
    </row>
    <row r="62" spans="8:11" x14ac:dyDescent="0.25">
      <c r="H62" t="s">
        <v>219</v>
      </c>
      <c r="J62">
        <f>J58/SUM($J$58:$K$58)</f>
        <v>0.74629629629629635</v>
      </c>
      <c r="K62">
        <f>K58/SUM($J$58:$K$58)</f>
        <v>0.25370370370370371</v>
      </c>
    </row>
  </sheetData>
  <hyperlinks>
    <hyperlink ref="E3" r:id="rId1" xr:uid="{3B43914B-AFDA-48C4-A5C7-47DCC388BF75}"/>
    <hyperlink ref="E2" r:id="rId2" xr:uid="{6EEC127E-C537-44FB-B447-370AFB3990D5}"/>
    <hyperlink ref="E4" r:id="rId3" xr:uid="{7EF42CE7-14CA-4CB2-8D15-BB43C314D522}"/>
  </hyperlinks>
  <pageMargins left="0.7" right="0.7" top="0.75" bottom="0.75" header="0.3" footer="0.3"/>
  <pageSetup paperSize="9" orientation="portrait" r:id="rId4"/>
  <drawing r:id="rId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9444B2-219E-4120-B4D0-519672D2AC3E}">
  <sheetPr>
    <tabColor rgb="FF00B050"/>
  </sheetPr>
  <dimension ref="B3:I22"/>
  <sheetViews>
    <sheetView topLeftCell="B1" zoomScale="90" zoomScaleNormal="90" workbookViewId="0">
      <selection activeCell="F17" sqref="F17:I22"/>
    </sheetView>
  </sheetViews>
  <sheetFormatPr defaultRowHeight="15" x14ac:dyDescent="0.25"/>
  <cols>
    <col min="2" max="2" width="97.85546875" customWidth="1"/>
    <col min="3" max="3" width="46.28515625" customWidth="1"/>
    <col min="4" max="4" width="51.7109375" customWidth="1"/>
    <col min="5" max="5" width="23.42578125" customWidth="1"/>
  </cols>
  <sheetData>
    <row r="3" spans="2:5" x14ac:dyDescent="0.25">
      <c r="B3" s="86" t="s">
        <v>192</v>
      </c>
      <c r="C3" s="86" t="s">
        <v>193</v>
      </c>
      <c r="D3" s="86" t="s">
        <v>220</v>
      </c>
      <c r="E3" s="86" t="s">
        <v>195</v>
      </c>
    </row>
    <row r="4" spans="2:5" ht="30" x14ac:dyDescent="0.25">
      <c r="B4" s="91" t="s">
        <v>221</v>
      </c>
      <c r="C4" s="91" t="s">
        <v>222</v>
      </c>
      <c r="D4" s="91" t="s">
        <v>223</v>
      </c>
      <c r="E4" s="1" t="s">
        <v>224</v>
      </c>
    </row>
    <row r="5" spans="2:5" x14ac:dyDescent="0.25">
      <c r="B5" s="86" t="s">
        <v>199</v>
      </c>
      <c r="C5" s="86" t="s">
        <v>225</v>
      </c>
      <c r="D5" s="86" t="s">
        <v>226</v>
      </c>
      <c r="E5" s="1" t="s">
        <v>227</v>
      </c>
    </row>
    <row r="6" spans="2:5" x14ac:dyDescent="0.25">
      <c r="B6" s="86" t="s">
        <v>199</v>
      </c>
      <c r="C6" s="86" t="s">
        <v>228</v>
      </c>
      <c r="D6" s="86" t="s">
        <v>229</v>
      </c>
      <c r="E6" s="1" t="s">
        <v>227</v>
      </c>
    </row>
    <row r="11" spans="2:5" x14ac:dyDescent="0.25">
      <c r="B11" s="92" t="s">
        <v>230</v>
      </c>
      <c r="C11" s="92"/>
    </row>
    <row r="17" spans="6:9" x14ac:dyDescent="0.25">
      <c r="F17" s="86"/>
      <c r="G17" s="86" t="s">
        <v>213</v>
      </c>
      <c r="H17" s="86" t="s">
        <v>132</v>
      </c>
      <c r="I17" s="86" t="s">
        <v>231</v>
      </c>
    </row>
    <row r="18" spans="6:9" x14ac:dyDescent="0.25">
      <c r="F18" s="86"/>
      <c r="G18" s="86"/>
      <c r="H18" s="86">
        <v>337</v>
      </c>
      <c r="I18" s="86">
        <v>338</v>
      </c>
    </row>
    <row r="19" spans="6:9" x14ac:dyDescent="0.25">
      <c r="F19" s="86" t="s">
        <v>217</v>
      </c>
      <c r="G19" s="104">
        <f>(H19*H22)+(I19*I22)</f>
        <v>53.997037037037032</v>
      </c>
      <c r="H19" s="86">
        <v>56</v>
      </c>
      <c r="I19" s="86">
        <v>52</v>
      </c>
    </row>
    <row r="20" spans="6:9" x14ac:dyDescent="0.25">
      <c r="F20" s="86" t="s">
        <v>218</v>
      </c>
      <c r="G20" s="104">
        <f>(H20*H22)+(I20*I22)</f>
        <v>0.47259259259259256</v>
      </c>
      <c r="H20" s="86">
        <f>208/H18</f>
        <v>0.6172106824925816</v>
      </c>
      <c r="I20" s="86">
        <f>111/I18</f>
        <v>0.32840236686390534</v>
      </c>
    </row>
    <row r="21" spans="6:9" x14ac:dyDescent="0.25">
      <c r="F21" s="86" t="s">
        <v>213</v>
      </c>
      <c r="G21" s="86"/>
      <c r="H21" s="86"/>
      <c r="I21" s="86"/>
    </row>
    <row r="22" spans="6:9" x14ac:dyDescent="0.25">
      <c r="F22" s="86" t="s">
        <v>219</v>
      </c>
      <c r="G22" s="86"/>
      <c r="H22" s="86">
        <f>H18/SUM(H18:I18)</f>
        <v>0.49925925925925924</v>
      </c>
      <c r="I22" s="86">
        <f>I18/SUM(H18:I18)</f>
        <v>0.50074074074074071</v>
      </c>
    </row>
  </sheetData>
  <hyperlinks>
    <hyperlink ref="E5" r:id="rId1" xr:uid="{4F4B44D6-3218-4D48-A6D5-2DFC56CCE417}"/>
    <hyperlink ref="E4" r:id="rId2" display="https://www.nejm.org/doi/pdf/10.1056/NEJMoa1103782?articleTools=true" xr:uid="{85CBC973-01FF-4AB7-9101-6F1F49D11C0F}"/>
    <hyperlink ref="E6" r:id="rId3" xr:uid="{6DEF4495-D787-4F8D-9AAF-B001FBF6F530}"/>
  </hyperlinks>
  <pageMargins left="0.7" right="0.7" top="0.75" bottom="0.75" header="0.3" footer="0.3"/>
  <pageSetup paperSize="9" orientation="portrait" r:id="rId4"/>
  <drawing r:id="rId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25</vt:i4>
      </vt:variant>
    </vt:vector>
  </HeadingPairs>
  <TitlesOfParts>
    <vt:vector size="25" baseType="lpstr">
      <vt:lpstr>TA_Final (2)</vt:lpstr>
      <vt:lpstr>TA_Final</vt:lpstr>
      <vt:lpstr>TA_Include</vt:lpstr>
      <vt:lpstr>TA_Include_tidy_backup</vt:lpstr>
      <vt:lpstr>TA_Include_tidy</vt:lpstr>
      <vt:lpstr>Comparison Gorrod</vt:lpstr>
      <vt:lpstr>TA259</vt:lpstr>
      <vt:lpstr>TA268</vt:lpstr>
      <vt:lpstr>TA269</vt:lpstr>
      <vt:lpstr>TA285</vt:lpstr>
      <vt:lpstr>TA347</vt:lpstr>
      <vt:lpstr>TA319</vt:lpstr>
      <vt:lpstr>TA357</vt:lpstr>
      <vt:lpstr>TA366</vt:lpstr>
      <vt:lpstr>TA374</vt:lpstr>
      <vt:lpstr>TA384</vt:lpstr>
      <vt:lpstr>TA396</vt:lpstr>
      <vt:lpstr>TA400</vt:lpstr>
      <vt:lpstr>TA414</vt:lpstr>
      <vt:lpstr>TA417</vt:lpstr>
      <vt:lpstr>TA428</vt:lpstr>
      <vt:lpstr>TA476</vt:lpstr>
      <vt:lpstr>TA447</vt:lpstr>
      <vt:lpstr>TA650</vt:lpstr>
      <vt:lpstr>Final_TAs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2023-03-28T09:59:51Z</dcterms:created>
  <dcterms:modified xsi:type="dcterms:W3CDTF">2023-04-13T12:03:22Z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3c9bec58-8084-492e-8360-0e1cfe36408c_Enabled">
    <vt:lpwstr>true</vt:lpwstr>
  </property>
  <property fmtid="{D5CDD505-2E9C-101B-9397-08002B2CF9AE}" pid="3" name="MSIP_Label_3c9bec58-8084-492e-8360-0e1cfe36408c_SetDate">
    <vt:lpwstr>2023-03-28T10:00:03Z</vt:lpwstr>
  </property>
  <property fmtid="{D5CDD505-2E9C-101B-9397-08002B2CF9AE}" pid="4" name="MSIP_Label_3c9bec58-8084-492e-8360-0e1cfe36408c_Method">
    <vt:lpwstr>Standard</vt:lpwstr>
  </property>
  <property fmtid="{D5CDD505-2E9C-101B-9397-08002B2CF9AE}" pid="5" name="MSIP_Label_3c9bec58-8084-492e-8360-0e1cfe36408c_Name">
    <vt:lpwstr>Not Protected -Pilot</vt:lpwstr>
  </property>
  <property fmtid="{D5CDD505-2E9C-101B-9397-08002B2CF9AE}" pid="6" name="MSIP_Label_3c9bec58-8084-492e-8360-0e1cfe36408c_SiteId">
    <vt:lpwstr>f35a6974-607f-47d4-82d7-ff31d7dc53a5</vt:lpwstr>
  </property>
  <property fmtid="{D5CDD505-2E9C-101B-9397-08002B2CF9AE}" pid="7" name="MSIP_Label_3c9bec58-8084-492e-8360-0e1cfe36408c_ActionId">
    <vt:lpwstr>03f7e042-fb82-4fd7-a339-b457a38f0cd2</vt:lpwstr>
  </property>
  <property fmtid="{D5CDD505-2E9C-101B-9397-08002B2CF9AE}" pid="8" name="MSIP_Label_3c9bec58-8084-492e-8360-0e1cfe36408c_ContentBits">
    <vt:lpwstr>0</vt:lpwstr>
  </property>
</Properties>
</file>